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3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3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_SUEMTS\Sites\Conteúdo Acesso a Informação\1. Atividades e Resultados - Planilha de Produção\2022\"/>
    </mc:Choice>
  </mc:AlternateContent>
  <xr:revisionPtr revIDLastSave="0" documentId="13_ncr:1_{2EB61B57-4B3E-4AAC-A462-1820D653CD8C}" xr6:coauthVersionLast="47" xr6:coauthVersionMax="47" xr10:uidLastSave="{00000000-0000-0000-0000-000000000000}"/>
  <bookViews>
    <workbookView xWindow="-109" yWindow="-109" windowWidth="18775" windowHeight="10067" tabRatio="668" firstSheet="13" activeTab="13" xr2:uid="{00000000-000D-0000-FFFF-FFFF00000000}"/>
  </bookViews>
  <sheets>
    <sheet name="CAPA" sheetId="1" state="hidden" r:id="rId1"/>
    <sheet name="Índice" sheetId="31" state="hidden" r:id="rId2"/>
    <sheet name="1.cont x real" sheetId="43" state="hidden" r:id="rId3"/>
    <sheet name="GERAL CONTRATADOXREALIZADO I" sheetId="24" state="hidden" r:id="rId4"/>
    <sheet name="GERAL CONTRATADOXREALIZADOII" sheetId="25" state="hidden" r:id="rId5"/>
    <sheet name="2.SAIDAS. MUNIC." sheetId="13" state="hidden" r:id="rId6"/>
    <sheet name="3.taxa obst " sheetId="42" state="hidden" r:id="rId7"/>
    <sheet name="4 ATEND. PORTA POR MUNICIPIO" sheetId="8" state="hidden" r:id="rId8"/>
    <sheet name="5 TOTAL DE SAÍDAS " sheetId="6" state="hidden" r:id="rId9"/>
    <sheet name="6.Exames" sheetId="4" state="hidden" r:id="rId10"/>
    <sheet name="7.UAN" sheetId="15" state="hidden" r:id="rId11"/>
    <sheet name="8.Lavanderia" sheetId="14" state="hidden" r:id="rId12"/>
    <sheet name="9.Atendimento-classif. de risco" sheetId="11" state="hidden" r:id="rId13"/>
    <sheet name="10. SITE" sheetId="46" r:id="rId14"/>
    <sheet name="11. TAXAS" sheetId="48" state="hidden" r:id="rId15"/>
  </sheets>
  <definedNames>
    <definedName name="_xlnm.Print_Area" localSheetId="2">'1.cont x real'!$A$1:$W$104</definedName>
    <definedName name="_xlnm.Print_Area" localSheetId="14">'11. TAXAS'!$A$1:$AB$60</definedName>
    <definedName name="_xlnm.Print_Area" localSheetId="5">'2.SAIDAS. MUNIC.'!$A$1:$P$76</definedName>
    <definedName name="_xlnm.Print_Area" localSheetId="6">'3.taxa obst '!$A$1:$AC$97</definedName>
    <definedName name="_xlnm.Print_Area" localSheetId="7">'4 ATEND. PORTA POR MUNICIPIO'!$A$1:$P$87</definedName>
    <definedName name="_xlnm.Print_Area" localSheetId="8">'5 TOTAL DE SAÍDAS '!$A$1:$Q$29</definedName>
    <definedName name="_xlnm.Print_Area" localSheetId="9">'6.Exames'!$A$1:$P$52</definedName>
    <definedName name="_xlnm.Print_Area" localSheetId="10">'7.UAN'!$A$1:$P$57</definedName>
    <definedName name="_xlnm.Print_Area" localSheetId="11">'8.Lavanderia'!$A$1:$S$62</definedName>
    <definedName name="_xlnm.Print_Area" localSheetId="12">'9.Atendimento-classif. de risco'!$A$1:$AB$63</definedName>
    <definedName name="_xlnm.Print_Area" localSheetId="0">CAPA!$A$1:$J$45</definedName>
    <definedName name="_xlnm.Print_Area" localSheetId="3">'GERAL CONTRATADOXREALIZADO I'!$A$1:$K$43</definedName>
    <definedName name="_xlnm.Print_Area" localSheetId="4">'GERAL CONTRATADOXREALIZADOII'!$A$1:$K$44</definedName>
    <definedName name="_xlnm.Print_Area" localSheetId="1">Índice!$A$1:$J$44</definedName>
    <definedName name="Z_735276B6_8B53_4447_B7C2_CBEDAEBC1390_.wvu.PrintArea" localSheetId="5" hidden="1">'2.SAIDAS. MUNIC.'!$A$2:$P$71</definedName>
    <definedName name="Z_735276B6_8B53_4447_B7C2_CBEDAEBC1390_.wvu.PrintArea" localSheetId="7" hidden="1">'4 ATEND. PORTA POR MUNICIPIO'!$A$1:$P$89</definedName>
    <definedName name="Z_735276B6_8B53_4447_B7C2_CBEDAEBC1390_.wvu.PrintArea" localSheetId="8" hidden="1">'5 TOTAL DE SAÍDAS '!$A$1:$O$19</definedName>
    <definedName name="Z_735276B6_8B53_4447_B7C2_CBEDAEBC1390_.wvu.PrintArea" localSheetId="9" hidden="1">'6.Exames'!$A$1:$P$45</definedName>
    <definedName name="Z_735276B6_8B53_4447_B7C2_CBEDAEBC1390_.wvu.PrintArea" localSheetId="10" hidden="1">'7.UAN'!$A$1:$Q$49</definedName>
    <definedName name="Z_735276B6_8B53_4447_B7C2_CBEDAEBC1390_.wvu.PrintArea" localSheetId="11" hidden="1">'8.Lavanderia'!$A$1:$O$42</definedName>
    <definedName name="Z_735276B6_8B53_4447_B7C2_CBEDAEBC1390_.wvu.PrintArea" localSheetId="12" hidden="1">'9.Atendimento-classif. de risco'!$A$1:$P$70</definedName>
    <definedName name="Z_735276B6_8B53_4447_B7C2_CBEDAEBC1390_.wvu.PrintArea" localSheetId="3" hidden="1">'GERAL CONTRATADOXREALIZADO I'!$A$1:$L$43</definedName>
    <definedName name="Z_735276B6_8B53_4447_B7C2_CBEDAEBC1390_.wvu.PrintArea" localSheetId="4" hidden="1">'GERAL CONTRATADOXREALIZADOII'!$A$1:$K$46</definedName>
    <definedName name="Z_735276B6_8B53_4447_B7C2_CBEDAEBC1390_.wvu.Rows" localSheetId="11" hidden="1">'8.Lavanderia'!$7:$7,'8.Lavanderia'!$11:$11,'8.Lavanderia'!$15:$15</definedName>
    <definedName name="Z_735276B6_8B53_4447_B7C2_CBEDAEBC1390_.wvu.Rows" localSheetId="12" hidden="1">'9.Atendimento-classif. de risco'!#REF!</definedName>
  </definedNames>
  <calcPr calcId="191029" iterateDelta="1E-4"/>
  <customWorkbookViews>
    <customWorkbookView name="1" guid="{735276B6-8B53-4447-B7C2-CBEDAEBC1390}" maximized="1" windowWidth="1362" windowHeight="463" tabRatio="908" activeSheetId="2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46" l="1"/>
  <c r="N29" i="46" s="1"/>
  <c r="N14" i="46"/>
  <c r="N28" i="46" s="1"/>
  <c r="N10" i="46"/>
  <c r="M29" i="46"/>
  <c r="M28" i="46"/>
  <c r="M23" i="46"/>
  <c r="M14" i="46"/>
  <c r="L23" i="46"/>
  <c r="L29" i="46" s="1"/>
  <c r="L14" i="46"/>
  <c r="L28" i="46" s="1"/>
  <c r="K23" i="46"/>
  <c r="K29" i="46" s="1"/>
  <c r="K14" i="46"/>
  <c r="K28" i="46" s="1"/>
  <c r="J23" i="46" l="1"/>
  <c r="J29" i="46" s="1"/>
  <c r="J14" i="46"/>
  <c r="J28" i="46" s="1"/>
  <c r="I23" i="46"/>
  <c r="I29" i="46" s="1"/>
  <c r="I14" i="46"/>
  <c r="I28" i="46" s="1"/>
  <c r="H23" i="46"/>
  <c r="H29" i="46" s="1"/>
  <c r="H22" i="46"/>
  <c r="H21" i="46"/>
  <c r="H14" i="46"/>
  <c r="H28" i="46" s="1"/>
  <c r="G28" i="46"/>
  <c r="F28" i="46"/>
  <c r="F23" i="46"/>
  <c r="F29" i="46" s="1"/>
  <c r="G22" i="46"/>
  <c r="F22" i="46"/>
  <c r="G21" i="46"/>
  <c r="G23" i="46" s="1"/>
  <c r="G29" i="46" s="1"/>
  <c r="G14" i="46"/>
  <c r="F14" i="46"/>
  <c r="G8" i="24"/>
  <c r="G6" i="24"/>
  <c r="F23" i="24"/>
  <c r="F8" i="24"/>
  <c r="F6" i="24"/>
  <c r="E21" i="46" l="1"/>
  <c r="E22" i="46"/>
  <c r="E23" i="24"/>
  <c r="E8" i="24"/>
  <c r="E6" i="24"/>
  <c r="D23" i="24"/>
  <c r="D22" i="46" l="1"/>
  <c r="D23" i="46"/>
  <c r="D8" i="24" l="1"/>
  <c r="D6" i="24"/>
  <c r="C22" i="46" l="1"/>
  <c r="C6" i="24"/>
  <c r="H57" i="48"/>
  <c r="I57" i="48"/>
  <c r="J57" i="48"/>
  <c r="H93" i="13"/>
  <c r="D21" i="25"/>
  <c r="D23" i="25"/>
  <c r="D19" i="25"/>
  <c r="E19" i="25"/>
  <c r="F19" i="25"/>
  <c r="G19" i="25"/>
  <c r="H19" i="25"/>
  <c r="M22" i="13"/>
  <c r="S164" i="13"/>
  <c r="T164" i="13" s="1"/>
  <c r="R186" i="13"/>
  <c r="M186" i="13"/>
  <c r="H186" i="13"/>
  <c r="R177" i="13"/>
  <c r="M177" i="13"/>
  <c r="H177" i="13"/>
  <c r="R168" i="13"/>
  <c r="M168" i="13"/>
  <c r="H168" i="13"/>
  <c r="R159" i="13"/>
  <c r="S156" i="13" s="1"/>
  <c r="T156" i="13" s="1"/>
  <c r="M159" i="13"/>
  <c r="N158" i="13" s="1"/>
  <c r="O158" i="13" s="1"/>
  <c r="H159" i="13"/>
  <c r="I156" i="13" s="1"/>
  <c r="J156" i="13" s="1"/>
  <c r="M149" i="13"/>
  <c r="R122" i="13"/>
  <c r="M131" i="13"/>
  <c r="N168" i="13" l="1"/>
  <c r="N131" i="13"/>
  <c r="S182" i="13"/>
  <c r="T182" i="13" s="1"/>
  <c r="S183" i="13"/>
  <c r="T183" i="13" s="1"/>
  <c r="S185" i="13"/>
  <c r="T185" i="13" s="1"/>
  <c r="S184" i="13"/>
  <c r="T184" i="13" s="1"/>
  <c r="S173" i="13"/>
  <c r="T173" i="13" s="1"/>
  <c r="S176" i="13"/>
  <c r="T176" i="13" s="1"/>
  <c r="S174" i="13"/>
  <c r="T174" i="13" s="1"/>
  <c r="S175" i="13"/>
  <c r="T175" i="13" s="1"/>
  <c r="S167" i="13"/>
  <c r="T167" i="13" s="1"/>
  <c r="S166" i="13"/>
  <c r="T166" i="13" s="1"/>
  <c r="S165" i="13"/>
  <c r="T165" i="13" s="1"/>
  <c r="N182" i="13"/>
  <c r="O182" i="13" s="1"/>
  <c r="N183" i="13"/>
  <c r="O183" i="13" s="1"/>
  <c r="N185" i="13"/>
  <c r="O185" i="13" s="1"/>
  <c r="N184" i="13"/>
  <c r="O184" i="13" s="1"/>
  <c r="N173" i="13"/>
  <c r="O173" i="13" s="1"/>
  <c r="N176" i="13"/>
  <c r="O176" i="13" s="1"/>
  <c r="N174" i="13"/>
  <c r="O174" i="13" s="1"/>
  <c r="N175" i="13"/>
  <c r="O175" i="13" s="1"/>
  <c r="N164" i="13"/>
  <c r="O164" i="13" s="1"/>
  <c r="N165" i="13"/>
  <c r="O165" i="13" s="1"/>
  <c r="N167" i="13"/>
  <c r="O167" i="13" s="1"/>
  <c r="N166" i="13"/>
  <c r="O166" i="13" s="1"/>
  <c r="I182" i="13"/>
  <c r="J182" i="13" s="1"/>
  <c r="I185" i="13"/>
  <c r="J185" i="13" s="1"/>
  <c r="I184" i="13"/>
  <c r="J184" i="13" s="1"/>
  <c r="I183" i="13"/>
  <c r="J183" i="13" s="1"/>
  <c r="I173" i="13"/>
  <c r="J173" i="13" s="1"/>
  <c r="I174" i="13"/>
  <c r="J174" i="13" s="1"/>
  <c r="I176" i="13"/>
  <c r="J176" i="13" s="1"/>
  <c r="I175" i="13"/>
  <c r="J175" i="13" s="1"/>
  <c r="I167" i="13"/>
  <c r="J167" i="13" s="1"/>
  <c r="I166" i="13"/>
  <c r="J166" i="13" s="1"/>
  <c r="I164" i="13"/>
  <c r="J164" i="13" s="1"/>
  <c r="I165" i="13"/>
  <c r="J165" i="13" s="1"/>
  <c r="S157" i="13"/>
  <c r="T157" i="13" s="1"/>
  <c r="S159" i="13"/>
  <c r="S158" i="13"/>
  <c r="T158" i="13" s="1"/>
  <c r="S155" i="13"/>
  <c r="T155" i="13" s="1"/>
  <c r="N157" i="13"/>
  <c r="O157" i="13" s="1"/>
  <c r="N156" i="13"/>
  <c r="O156" i="13" s="1"/>
  <c r="N155" i="13"/>
  <c r="O155" i="13" s="1"/>
  <c r="I155" i="13"/>
  <c r="I159" i="13"/>
  <c r="I158" i="13"/>
  <c r="J158" i="13" s="1"/>
  <c r="I157" i="13"/>
  <c r="J157" i="13" s="1"/>
  <c r="S120" i="13"/>
  <c r="T120" i="13" s="1"/>
  <c r="S118" i="13"/>
  <c r="T118" i="13" s="1"/>
  <c r="S121" i="13"/>
  <c r="T121" i="13" s="1"/>
  <c r="S119" i="13"/>
  <c r="T119" i="13" s="1"/>
  <c r="N148" i="13"/>
  <c r="O148" i="13" s="1"/>
  <c r="N147" i="13"/>
  <c r="O147" i="13" s="1"/>
  <c r="N145" i="13"/>
  <c r="O145" i="13" s="1"/>
  <c r="N146" i="13"/>
  <c r="O146" i="13" s="1"/>
  <c r="N130" i="13"/>
  <c r="O130" i="13" s="1"/>
  <c r="N129" i="13"/>
  <c r="O129" i="13" s="1"/>
  <c r="N127" i="13"/>
  <c r="O127" i="13" s="1"/>
  <c r="N128" i="13"/>
  <c r="O128" i="13" s="1"/>
  <c r="R149" i="13"/>
  <c r="H149" i="13"/>
  <c r="R140" i="13"/>
  <c r="M140" i="13"/>
  <c r="H140" i="13"/>
  <c r="R131" i="13"/>
  <c r="H131" i="13"/>
  <c r="M122" i="13"/>
  <c r="H122" i="13"/>
  <c r="I120" i="13" s="1"/>
  <c r="J120" i="13" s="1"/>
  <c r="R111" i="13"/>
  <c r="R102" i="13"/>
  <c r="R93" i="13"/>
  <c r="R84" i="13"/>
  <c r="M111" i="13"/>
  <c r="M102" i="13"/>
  <c r="M93" i="13"/>
  <c r="M84" i="13"/>
  <c r="H111" i="13"/>
  <c r="I108" i="13" s="1"/>
  <c r="J108" i="13" s="1"/>
  <c r="H102" i="13"/>
  <c r="I99" i="13" s="1"/>
  <c r="J99" i="13" s="1"/>
  <c r="I83" i="13"/>
  <c r="I84" i="13"/>
  <c r="I90" i="13"/>
  <c r="J90" i="13" s="1"/>
  <c r="H84" i="13"/>
  <c r="S122" i="13" s="1"/>
  <c r="S186" i="13" l="1"/>
  <c r="I186" i="13"/>
  <c r="I101" i="13"/>
  <c r="J101" i="13" s="1"/>
  <c r="I119" i="13"/>
  <c r="J119" i="13" s="1"/>
  <c r="I82" i="13"/>
  <c r="J82" i="13" s="1"/>
  <c r="I81" i="13"/>
  <c r="N84" i="13"/>
  <c r="S84" i="13"/>
  <c r="I80" i="13"/>
  <c r="J80" i="13" s="1"/>
  <c r="N159" i="13"/>
  <c r="I118" i="13"/>
  <c r="J118" i="13" s="1"/>
  <c r="N111" i="13"/>
  <c r="S111" i="13"/>
  <c r="I98" i="13"/>
  <c r="J98" i="13" s="1"/>
  <c r="I100" i="13"/>
  <c r="J100" i="13" s="1"/>
  <c r="I177" i="13"/>
  <c r="N177" i="13"/>
  <c r="S168" i="13"/>
  <c r="I93" i="13"/>
  <c r="N93" i="13"/>
  <c r="S93" i="13"/>
  <c r="I168" i="13"/>
  <c r="S177" i="13"/>
  <c r="I92" i="13"/>
  <c r="J92" i="13" s="1"/>
  <c r="N102" i="13"/>
  <c r="S102" i="13"/>
  <c r="N149" i="13"/>
  <c r="I102" i="13"/>
  <c r="I131" i="13"/>
  <c r="N186" i="13"/>
  <c r="S149" i="13"/>
  <c r="S146" i="13"/>
  <c r="T146" i="13" s="1"/>
  <c r="S145" i="13"/>
  <c r="T145" i="13" s="1"/>
  <c r="S147" i="13"/>
  <c r="T147" i="13" s="1"/>
  <c r="S148" i="13"/>
  <c r="T148" i="13" s="1"/>
  <c r="S100" i="13"/>
  <c r="T100" i="13" s="1"/>
  <c r="S140" i="13"/>
  <c r="S137" i="13"/>
  <c r="T137" i="13" s="1"/>
  <c r="S136" i="13"/>
  <c r="T136" i="13" s="1"/>
  <c r="S138" i="13"/>
  <c r="T138" i="13" s="1"/>
  <c r="S139" i="13"/>
  <c r="T139" i="13" s="1"/>
  <c r="S101" i="13"/>
  <c r="T101" i="13" s="1"/>
  <c r="S99" i="13"/>
  <c r="T99" i="13" s="1"/>
  <c r="S131" i="13"/>
  <c r="S130" i="13"/>
  <c r="T130" i="13" s="1"/>
  <c r="S128" i="13"/>
  <c r="T128" i="13" s="1"/>
  <c r="S127" i="13"/>
  <c r="T127" i="13" s="1"/>
  <c r="S129" i="13"/>
  <c r="T129" i="13" s="1"/>
  <c r="S92" i="13"/>
  <c r="T92" i="13" s="1"/>
  <c r="S91" i="13"/>
  <c r="T91" i="13" s="1"/>
  <c r="S90" i="13"/>
  <c r="T90" i="13" s="1"/>
  <c r="N140" i="13"/>
  <c r="N137" i="13"/>
  <c r="O137" i="13" s="1"/>
  <c r="N136" i="13"/>
  <c r="O136" i="13" s="1"/>
  <c r="N138" i="13"/>
  <c r="O138" i="13" s="1"/>
  <c r="N139" i="13"/>
  <c r="O139" i="13" s="1"/>
  <c r="N120" i="13"/>
  <c r="O120" i="13" s="1"/>
  <c r="N121" i="13"/>
  <c r="O121" i="13" s="1"/>
  <c r="N119" i="13"/>
  <c r="O119" i="13" s="1"/>
  <c r="N122" i="13"/>
  <c r="N118" i="13"/>
  <c r="O118" i="13" s="1"/>
  <c r="I149" i="13"/>
  <c r="I145" i="13"/>
  <c r="J145" i="13" s="1"/>
  <c r="I146" i="13"/>
  <c r="J146" i="13" s="1"/>
  <c r="I147" i="13"/>
  <c r="J147" i="13" s="1"/>
  <c r="I148" i="13"/>
  <c r="J148" i="13" s="1"/>
  <c r="I140" i="13"/>
  <c r="I137" i="13"/>
  <c r="J137" i="13" s="1"/>
  <c r="I136" i="13"/>
  <c r="J136" i="13" s="1"/>
  <c r="I138" i="13"/>
  <c r="J138" i="13" s="1"/>
  <c r="I139" i="13"/>
  <c r="J139" i="13" s="1"/>
  <c r="I129" i="13"/>
  <c r="J129" i="13" s="1"/>
  <c r="I128" i="13"/>
  <c r="J128" i="13" s="1"/>
  <c r="I127" i="13"/>
  <c r="J127" i="13" s="1"/>
  <c r="I130" i="13"/>
  <c r="J130" i="13" s="1"/>
  <c r="I121" i="13"/>
  <c r="J121" i="13" s="1"/>
  <c r="I122" i="13"/>
  <c r="S83" i="13"/>
  <c r="T83" i="13" s="1"/>
  <c r="S82" i="13"/>
  <c r="T82" i="13" s="1"/>
  <c r="S81" i="13"/>
  <c r="T81" i="13" s="1"/>
  <c r="N108" i="13"/>
  <c r="O108" i="13" s="1"/>
  <c r="N107" i="13"/>
  <c r="O107" i="13" s="1"/>
  <c r="N110" i="13"/>
  <c r="O110" i="13" s="1"/>
  <c r="N109" i="13"/>
  <c r="O109" i="13" s="1"/>
  <c r="N101" i="13"/>
  <c r="O101" i="13" s="1"/>
  <c r="N98" i="13"/>
  <c r="O98" i="13" s="1"/>
  <c r="N100" i="13"/>
  <c r="O100" i="13" s="1"/>
  <c r="N99" i="13"/>
  <c r="O99" i="13" s="1"/>
  <c r="N82" i="13"/>
  <c r="O82" i="13" s="1"/>
  <c r="N81" i="13"/>
  <c r="O81" i="13" s="1"/>
  <c r="N83" i="13"/>
  <c r="O83" i="13" s="1"/>
  <c r="S89" i="13"/>
  <c r="T89" i="13" s="1"/>
  <c r="S98" i="13"/>
  <c r="T98" i="13" s="1"/>
  <c r="S110" i="13"/>
  <c r="T110" i="13" s="1"/>
  <c r="S109" i="13"/>
  <c r="T109" i="13" s="1"/>
  <c r="S107" i="13"/>
  <c r="T107" i="13" s="1"/>
  <c r="S108" i="13"/>
  <c r="T108" i="13" s="1"/>
  <c r="S80" i="13"/>
  <c r="T80" i="13" s="1"/>
  <c r="N92" i="13"/>
  <c r="O92" i="13" s="1"/>
  <c r="N91" i="13"/>
  <c r="O91" i="13" s="1"/>
  <c r="N89" i="13"/>
  <c r="O89" i="13" s="1"/>
  <c r="N90" i="13"/>
  <c r="O90" i="13" s="1"/>
  <c r="N80" i="13"/>
  <c r="O80" i="13" s="1"/>
  <c r="I111" i="13"/>
  <c r="I110" i="13"/>
  <c r="J110" i="13" s="1"/>
  <c r="I109" i="13"/>
  <c r="J109" i="13" s="1"/>
  <c r="I107" i="13"/>
  <c r="J107" i="13" s="1"/>
  <c r="I91" i="13"/>
  <c r="J91" i="13" s="1"/>
  <c r="I89" i="13"/>
  <c r="J89" i="13" s="1"/>
  <c r="J81" i="13"/>
  <c r="J83" i="13"/>
  <c r="J9" i="13" l="1"/>
  <c r="H10" i="24" l="1"/>
  <c r="Z59" i="48" l="1"/>
  <c r="Y59" i="48"/>
  <c r="X59" i="48"/>
  <c r="V59" i="48"/>
  <c r="U59" i="48"/>
  <c r="T59" i="48"/>
  <c r="R59" i="48"/>
  <c r="Q59" i="48"/>
  <c r="P59" i="48"/>
  <c r="N59" i="48"/>
  <c r="M59" i="48"/>
  <c r="L59" i="48"/>
  <c r="J59" i="48"/>
  <c r="I59" i="48"/>
  <c r="H59" i="48"/>
  <c r="F59" i="48"/>
  <c r="E59" i="48"/>
  <c r="D59" i="48"/>
  <c r="Z57" i="48"/>
  <c r="Y57" i="48"/>
  <c r="X57" i="48"/>
  <c r="V57" i="48"/>
  <c r="U57" i="48"/>
  <c r="T57" i="48"/>
  <c r="R57" i="48"/>
  <c r="Q57" i="48"/>
  <c r="P57" i="48"/>
  <c r="N57" i="48"/>
  <c r="M57" i="48"/>
  <c r="L57" i="48"/>
  <c r="F57" i="48"/>
  <c r="E57" i="48"/>
  <c r="D57" i="48"/>
  <c r="Z52" i="48"/>
  <c r="Y52" i="48"/>
  <c r="X52" i="48"/>
  <c r="V52" i="48"/>
  <c r="U52" i="48"/>
  <c r="T52" i="48"/>
  <c r="R52" i="48"/>
  <c r="Q52" i="48"/>
  <c r="P52" i="48"/>
  <c r="N52" i="48"/>
  <c r="M52" i="48"/>
  <c r="L52" i="48"/>
  <c r="J52" i="48"/>
  <c r="I52" i="48"/>
  <c r="H52" i="48"/>
  <c r="F52" i="48"/>
  <c r="E52" i="48"/>
  <c r="D52" i="48"/>
  <c r="Z51" i="48"/>
  <c r="Y51" i="48"/>
  <c r="X51" i="48"/>
  <c r="V51" i="48"/>
  <c r="U51" i="48"/>
  <c r="T51" i="48"/>
  <c r="R51" i="48"/>
  <c r="Q51" i="48"/>
  <c r="P51" i="48"/>
  <c r="N51" i="48"/>
  <c r="M51" i="48"/>
  <c r="L51" i="48"/>
  <c r="J51" i="48"/>
  <c r="I51" i="48"/>
  <c r="H51" i="48"/>
  <c r="F51" i="48"/>
  <c r="E51" i="48"/>
  <c r="D51" i="48"/>
  <c r="Z41" i="48"/>
  <c r="Y41" i="48"/>
  <c r="X41" i="48"/>
  <c r="V41" i="48"/>
  <c r="U41" i="48"/>
  <c r="T41" i="48"/>
  <c r="R41" i="48"/>
  <c r="Q41" i="48"/>
  <c r="P41" i="48"/>
  <c r="N41" i="48"/>
  <c r="M41" i="48"/>
  <c r="L41" i="48"/>
  <c r="J41" i="48"/>
  <c r="I41" i="48"/>
  <c r="H41" i="48"/>
  <c r="F41" i="48"/>
  <c r="E41" i="48"/>
  <c r="D41" i="48"/>
  <c r="Z40" i="48"/>
  <c r="Y40" i="48"/>
  <c r="X40" i="48"/>
  <c r="V40" i="48"/>
  <c r="U40" i="48"/>
  <c r="T40" i="48"/>
  <c r="R40" i="48"/>
  <c r="Q40" i="48"/>
  <c r="P40" i="48"/>
  <c r="N40" i="48"/>
  <c r="M40" i="48"/>
  <c r="L40" i="48"/>
  <c r="J40" i="48"/>
  <c r="I40" i="48"/>
  <c r="H40" i="48"/>
  <c r="F40" i="48"/>
  <c r="E40" i="48"/>
  <c r="D40" i="48"/>
  <c r="Z29" i="48"/>
  <c r="Y29" i="48"/>
  <c r="X29" i="48"/>
  <c r="V29" i="48"/>
  <c r="U29" i="48"/>
  <c r="T29" i="48"/>
  <c r="R29" i="48"/>
  <c r="Q29" i="48"/>
  <c r="P29" i="48"/>
  <c r="N29" i="48"/>
  <c r="M29" i="48"/>
  <c r="L29" i="48"/>
  <c r="J29" i="48"/>
  <c r="I29" i="48"/>
  <c r="H29" i="48"/>
  <c r="F29" i="48"/>
  <c r="E29" i="48"/>
  <c r="D29" i="48"/>
  <c r="Z27" i="48"/>
  <c r="Y27" i="48"/>
  <c r="X27" i="48"/>
  <c r="V27" i="48"/>
  <c r="U27" i="48"/>
  <c r="T27" i="48"/>
  <c r="R27" i="48"/>
  <c r="Q27" i="48"/>
  <c r="P27" i="48"/>
  <c r="N27" i="48"/>
  <c r="M27" i="48"/>
  <c r="L27" i="48"/>
  <c r="J27" i="48"/>
  <c r="I27" i="48"/>
  <c r="H27" i="48"/>
  <c r="F27" i="48"/>
  <c r="E27" i="48"/>
  <c r="D27" i="48"/>
  <c r="Z22" i="48"/>
  <c r="Y22" i="48"/>
  <c r="X22" i="48"/>
  <c r="V22" i="48"/>
  <c r="U22" i="48"/>
  <c r="T22" i="48"/>
  <c r="R22" i="48"/>
  <c r="Q22" i="48"/>
  <c r="P22" i="48"/>
  <c r="N22" i="48"/>
  <c r="M22" i="48"/>
  <c r="L22" i="48"/>
  <c r="J22" i="48"/>
  <c r="I22" i="48"/>
  <c r="H22" i="48"/>
  <c r="F22" i="48"/>
  <c r="E22" i="48"/>
  <c r="D22" i="48"/>
  <c r="Z21" i="48"/>
  <c r="Y21" i="48"/>
  <c r="X21" i="48"/>
  <c r="V21" i="48"/>
  <c r="U21" i="48"/>
  <c r="T21" i="48"/>
  <c r="R21" i="48"/>
  <c r="Q21" i="48"/>
  <c r="P21" i="48"/>
  <c r="N21" i="48"/>
  <c r="M21" i="48"/>
  <c r="L21" i="48"/>
  <c r="J21" i="48"/>
  <c r="I21" i="48"/>
  <c r="H21" i="48"/>
  <c r="F21" i="48"/>
  <c r="E21" i="48"/>
  <c r="D21" i="48"/>
  <c r="Z11" i="48"/>
  <c r="Y11" i="48"/>
  <c r="X11" i="48"/>
  <c r="V11" i="48"/>
  <c r="U11" i="48"/>
  <c r="T11" i="48"/>
  <c r="R11" i="48"/>
  <c r="Q11" i="48"/>
  <c r="P11" i="48"/>
  <c r="N11" i="48"/>
  <c r="M11" i="48"/>
  <c r="L11" i="48"/>
  <c r="J11" i="48"/>
  <c r="I11" i="48"/>
  <c r="H11" i="48"/>
  <c r="F11" i="48"/>
  <c r="E11" i="48"/>
  <c r="D11" i="48"/>
  <c r="Z10" i="48"/>
  <c r="Y10" i="48"/>
  <c r="X10" i="48"/>
  <c r="V10" i="48"/>
  <c r="U10" i="48"/>
  <c r="T10" i="48"/>
  <c r="R10" i="48"/>
  <c r="Q10" i="48"/>
  <c r="P10" i="48"/>
  <c r="N10" i="48"/>
  <c r="M10" i="48"/>
  <c r="L10" i="48"/>
  <c r="J10" i="48"/>
  <c r="I10" i="48"/>
  <c r="H10" i="48"/>
  <c r="F10" i="48"/>
  <c r="E10" i="48"/>
  <c r="D10" i="48"/>
  <c r="E23" i="46" l="1"/>
  <c r="E29" i="46" s="1"/>
  <c r="B85" i="13"/>
  <c r="C81" i="13" s="1"/>
  <c r="D29" i="46"/>
  <c r="C23" i="46"/>
  <c r="C29" i="46" s="1"/>
  <c r="O21" i="46"/>
  <c r="O20" i="46"/>
  <c r="O19" i="46"/>
  <c r="E14" i="46"/>
  <c r="E28" i="46" s="1"/>
  <c r="D14" i="46"/>
  <c r="D28" i="46" s="1"/>
  <c r="C14" i="46"/>
  <c r="C28" i="46" s="1"/>
  <c r="O13" i="46"/>
  <c r="O12" i="46"/>
  <c r="O11" i="46"/>
  <c r="O10" i="46"/>
  <c r="O22" i="46" l="1"/>
  <c r="P29" i="46"/>
  <c r="Q29" i="46" s="1"/>
  <c r="O14" i="46"/>
  <c r="P28" i="46"/>
  <c r="Q28" i="46" s="1"/>
  <c r="O23" i="46"/>
  <c r="S76" i="11" l="1"/>
  <c r="E28" i="13"/>
  <c r="C30" i="43"/>
  <c r="F30" i="43"/>
  <c r="I30" i="43"/>
  <c r="L30" i="43"/>
  <c r="C9" i="13" l="1"/>
  <c r="O88" i="11" l="1"/>
  <c r="O82" i="11"/>
  <c r="O76" i="11"/>
  <c r="D85" i="13"/>
  <c r="C84" i="13"/>
  <c r="C82" i="13" l="1"/>
  <c r="C83" i="13"/>
  <c r="P22" i="6" l="1"/>
  <c r="O22" i="6"/>
  <c r="M43" i="42"/>
  <c r="P26" i="6" l="1"/>
  <c r="O26" i="6"/>
  <c r="P24" i="6"/>
  <c r="P21" i="6"/>
  <c r="O21" i="6"/>
  <c r="P20" i="6"/>
  <c r="O20" i="6"/>
  <c r="P19" i="6"/>
  <c r="O19" i="6"/>
  <c r="P18" i="6"/>
  <c r="O18" i="6"/>
  <c r="P17" i="6"/>
  <c r="O17" i="6"/>
  <c r="P15" i="6"/>
  <c r="P13" i="6"/>
  <c r="O13" i="6"/>
  <c r="P12" i="6"/>
  <c r="O12" i="6"/>
  <c r="P11" i="6"/>
  <c r="O11" i="6"/>
  <c r="P9" i="6"/>
  <c r="P7" i="6"/>
  <c r="O7" i="6"/>
  <c r="P6" i="6"/>
  <c r="O6" i="6"/>
  <c r="P5" i="6"/>
  <c r="O5" i="6"/>
  <c r="G24" i="24" l="1"/>
  <c r="H24" i="25"/>
  <c r="G24" i="25"/>
  <c r="F24" i="25"/>
  <c r="E24" i="25"/>
  <c r="N16" i="13"/>
  <c r="N33" i="13" s="1"/>
  <c r="M16" i="13"/>
  <c r="M34" i="13" s="1"/>
  <c r="L16" i="13"/>
  <c r="L35" i="13" s="1"/>
  <c r="K16" i="13"/>
  <c r="K33" i="13" s="1"/>
  <c r="J16" i="13"/>
  <c r="J35" i="13" s="1"/>
  <c r="I16" i="13"/>
  <c r="I32" i="13" s="1"/>
  <c r="H16" i="13"/>
  <c r="H35" i="13" s="1"/>
  <c r="G16" i="13"/>
  <c r="G34" i="13" s="1"/>
  <c r="F16" i="13"/>
  <c r="F33" i="13" s="1"/>
  <c r="E16" i="13"/>
  <c r="E35" i="13" s="1"/>
  <c r="D16" i="13"/>
  <c r="D33" i="13" s="1"/>
  <c r="C16" i="13"/>
  <c r="C32" i="13" s="1"/>
  <c r="P15" i="13"/>
  <c r="O15" i="13"/>
  <c r="P14" i="13"/>
  <c r="O14" i="13"/>
  <c r="P13" i="13"/>
  <c r="O13" i="13"/>
  <c r="P12" i="13"/>
  <c r="O12" i="13"/>
  <c r="V70" i="43"/>
  <c r="V72" i="43" s="1"/>
  <c r="V71" i="43"/>
  <c r="V65" i="43"/>
  <c r="V64" i="43"/>
  <c r="R66" i="43"/>
  <c r="O66" i="43"/>
  <c r="L66" i="43"/>
  <c r="I66" i="43"/>
  <c r="F66" i="43"/>
  <c r="C66" i="43"/>
  <c r="R72" i="43"/>
  <c r="O72" i="43"/>
  <c r="L72" i="43"/>
  <c r="I72" i="43"/>
  <c r="F72" i="43"/>
  <c r="C72" i="43"/>
  <c r="V76" i="43"/>
  <c r="V79" i="43"/>
  <c r="V29" i="43"/>
  <c r="V28" i="43"/>
  <c r="R30" i="43"/>
  <c r="O30" i="43"/>
  <c r="V66" i="43" l="1"/>
  <c r="C35" i="13"/>
  <c r="C34" i="13"/>
  <c r="L34" i="13"/>
  <c r="M32" i="13"/>
  <c r="M35" i="13"/>
  <c r="L32" i="13"/>
  <c r="K32" i="13"/>
  <c r="F32" i="13"/>
  <c r="E32" i="13"/>
  <c r="C33" i="13"/>
  <c r="D32" i="13"/>
  <c r="D34" i="13"/>
  <c r="D35" i="13"/>
  <c r="E33" i="13"/>
  <c r="F34" i="13"/>
  <c r="F35" i="13"/>
  <c r="E34" i="13"/>
  <c r="N34" i="13"/>
  <c r="N35" i="13"/>
  <c r="N32" i="13"/>
  <c r="M33" i="13"/>
  <c r="L33" i="13"/>
  <c r="K35" i="13"/>
  <c r="K34" i="13"/>
  <c r="J32" i="13"/>
  <c r="J33" i="13"/>
  <c r="J34" i="13"/>
  <c r="I33" i="13"/>
  <c r="I34" i="13"/>
  <c r="I35" i="13"/>
  <c r="H34" i="13"/>
  <c r="H32" i="13"/>
  <c r="H33" i="13"/>
  <c r="G32" i="13"/>
  <c r="G33" i="13"/>
  <c r="G35" i="13"/>
  <c r="V30" i="43"/>
  <c r="O16" i="13"/>
  <c r="P16" i="13"/>
  <c r="F17" i="43"/>
  <c r="G44" i="43" s="1"/>
  <c r="C36" i="13" l="1"/>
  <c r="E36" i="13"/>
  <c r="K36" i="13"/>
  <c r="L36" i="13"/>
  <c r="M36" i="13"/>
  <c r="N36" i="13"/>
  <c r="O34" i="13"/>
  <c r="F36" i="13"/>
  <c r="D36" i="13"/>
  <c r="J36" i="13"/>
  <c r="O35" i="13"/>
  <c r="I36" i="13"/>
  <c r="O32" i="13"/>
  <c r="H36" i="13"/>
  <c r="O33" i="13"/>
  <c r="G36" i="13"/>
  <c r="O36" i="13" l="1"/>
  <c r="F110" i="42"/>
  <c r="F111" i="42"/>
  <c r="F112" i="42"/>
  <c r="E110" i="42"/>
  <c r="E111" i="42"/>
  <c r="E112" i="42"/>
  <c r="D110" i="42"/>
  <c r="D111" i="42"/>
  <c r="D112" i="42"/>
  <c r="C110" i="42"/>
  <c r="C111" i="42"/>
  <c r="C112" i="42"/>
  <c r="C109" i="42"/>
  <c r="D109" i="42"/>
  <c r="E109" i="42"/>
  <c r="F109" i="42"/>
  <c r="G109" i="42"/>
  <c r="H109" i="42"/>
  <c r="I109" i="42"/>
  <c r="J109" i="42"/>
  <c r="K109" i="42"/>
  <c r="L109" i="42"/>
  <c r="L113" i="42" s="1"/>
  <c r="M109" i="42"/>
  <c r="M113" i="42" s="1"/>
  <c r="N109" i="42"/>
  <c r="G110" i="42"/>
  <c r="H110" i="42"/>
  <c r="I110" i="42"/>
  <c r="J110" i="42"/>
  <c r="K110" i="42"/>
  <c r="L110" i="42"/>
  <c r="M110" i="42"/>
  <c r="N110" i="42"/>
  <c r="G111" i="42"/>
  <c r="H111" i="42"/>
  <c r="I111" i="42"/>
  <c r="J111" i="42"/>
  <c r="K111" i="42"/>
  <c r="L111" i="42"/>
  <c r="M111" i="42"/>
  <c r="N111" i="42"/>
  <c r="G112" i="42"/>
  <c r="H112" i="42"/>
  <c r="I112" i="42"/>
  <c r="J112" i="42"/>
  <c r="K112" i="42"/>
  <c r="L112" i="42"/>
  <c r="M112" i="42"/>
  <c r="N112" i="42"/>
  <c r="G113" i="42"/>
  <c r="H113" i="42"/>
  <c r="I113" i="42"/>
  <c r="K113" i="42" l="1"/>
  <c r="E113" i="42"/>
  <c r="N113" i="42"/>
  <c r="J113" i="42"/>
  <c r="D113" i="42"/>
  <c r="C113" i="42"/>
  <c r="F113" i="42"/>
  <c r="E20" i="8" l="1"/>
  <c r="G19" i="42" l="1"/>
  <c r="H16" i="42" l="1"/>
  <c r="H17" i="42"/>
  <c r="H18" i="42"/>
  <c r="AP105" i="11"/>
  <c r="AP103" i="11"/>
  <c r="AP101" i="11"/>
  <c r="AP99" i="11"/>
  <c r="AO105" i="11"/>
  <c r="AO103" i="11"/>
  <c r="AO101" i="11"/>
  <c r="AO99" i="11"/>
  <c r="AN105" i="11"/>
  <c r="AN103" i="11"/>
  <c r="AN101" i="11"/>
  <c r="AN99" i="11"/>
  <c r="AM105" i="11"/>
  <c r="AM103" i="11"/>
  <c r="AM101" i="11"/>
  <c r="AM99" i="11"/>
  <c r="AL105" i="11"/>
  <c r="AL103" i="11"/>
  <c r="AL101" i="11"/>
  <c r="AL99" i="11"/>
  <c r="AK105" i="11"/>
  <c r="AK103" i="11"/>
  <c r="AK101" i="11"/>
  <c r="AK99" i="11"/>
  <c r="AJ105" i="11"/>
  <c r="AJ103" i="11"/>
  <c r="AJ101" i="11"/>
  <c r="AJ99" i="11"/>
  <c r="AI105" i="11"/>
  <c r="AI103" i="11"/>
  <c r="AI101" i="11"/>
  <c r="AI99" i="11"/>
  <c r="AH105" i="11"/>
  <c r="AH103" i="11"/>
  <c r="AH101" i="11"/>
  <c r="AG101" i="11"/>
  <c r="AH99" i="11"/>
  <c r="AG105" i="11"/>
  <c r="AG103" i="11"/>
  <c r="AG99" i="11"/>
  <c r="AF105" i="11"/>
  <c r="AF103" i="11"/>
  <c r="AF101" i="11"/>
  <c r="AF99" i="11"/>
  <c r="AE105" i="11"/>
  <c r="AE103" i="11"/>
  <c r="AE101" i="11"/>
  <c r="AE99" i="11"/>
  <c r="AP115" i="11"/>
  <c r="AP114" i="11"/>
  <c r="AP113" i="11"/>
  <c r="AP112" i="11"/>
  <c r="AP77" i="11"/>
  <c r="AO77" i="11"/>
  <c r="AN77" i="11"/>
  <c r="AM77" i="11"/>
  <c r="AL77" i="11"/>
  <c r="AK77" i="11"/>
  <c r="AJ77" i="11"/>
  <c r="AI77" i="11"/>
  <c r="AH77" i="11"/>
  <c r="AG77" i="11"/>
  <c r="AF77" i="11"/>
  <c r="AE77" i="11"/>
  <c r="AP75" i="11"/>
  <c r="AO75" i="11"/>
  <c r="AN75" i="11"/>
  <c r="AM75" i="11"/>
  <c r="AL75" i="11"/>
  <c r="AK75" i="11"/>
  <c r="AJ75" i="11"/>
  <c r="AI75" i="11"/>
  <c r="AH75" i="11"/>
  <c r="AG75" i="11"/>
  <c r="AF75" i="11"/>
  <c r="AE75" i="11"/>
  <c r="AP73" i="11"/>
  <c r="AO73" i="11"/>
  <c r="AN73" i="11"/>
  <c r="AM73" i="11"/>
  <c r="AL73" i="11"/>
  <c r="AK73" i="11"/>
  <c r="AJ73" i="11"/>
  <c r="AI73" i="11"/>
  <c r="AH73" i="11"/>
  <c r="AG73" i="11"/>
  <c r="AF73" i="11"/>
  <c r="AE73" i="11"/>
  <c r="AP71" i="11"/>
  <c r="AO71" i="11"/>
  <c r="AN71" i="11"/>
  <c r="AM71" i="11"/>
  <c r="AL71" i="11"/>
  <c r="AK71" i="11"/>
  <c r="AJ71" i="11"/>
  <c r="AI71" i="11"/>
  <c r="AH71" i="11"/>
  <c r="AH79" i="11" s="1"/>
  <c r="AH78" i="11" s="1"/>
  <c r="AG87" i="11" s="1"/>
  <c r="AG71" i="11"/>
  <c r="AF71" i="11"/>
  <c r="AE71" i="11"/>
  <c r="AP107" i="11" l="1"/>
  <c r="AK79" i="11"/>
  <c r="AK76" i="11" s="1"/>
  <c r="AJ86" i="11" s="1"/>
  <c r="H19" i="42"/>
  <c r="AK107" i="11"/>
  <c r="AK104" i="11" s="1"/>
  <c r="AI107" i="11"/>
  <c r="AI100" i="11" s="1"/>
  <c r="AN107" i="11"/>
  <c r="AN106" i="11" s="1"/>
  <c r="AL107" i="11"/>
  <c r="AL106" i="11" s="1"/>
  <c r="AL79" i="11"/>
  <c r="AL76" i="11" s="1"/>
  <c r="AK86" i="11" s="1"/>
  <c r="AI106" i="11"/>
  <c r="AH115" i="11" s="1"/>
  <c r="AQ71" i="11"/>
  <c r="AH107" i="11"/>
  <c r="AH102" i="11" s="1"/>
  <c r="AG113" i="11" s="1"/>
  <c r="AQ73" i="11"/>
  <c r="AQ75" i="11"/>
  <c r="AQ77" i="11"/>
  <c r="AI79" i="11"/>
  <c r="AI76" i="11" s="1"/>
  <c r="AH86" i="11" s="1"/>
  <c r="AN79" i="11"/>
  <c r="AN74" i="11" s="1"/>
  <c r="AM85" i="11" s="1"/>
  <c r="AJ79" i="11"/>
  <c r="AJ76" i="11" s="1"/>
  <c r="AI86" i="11" s="1"/>
  <c r="AP100" i="11"/>
  <c r="AO107" i="11"/>
  <c r="AO100" i="11" s="1"/>
  <c r="AM107" i="11"/>
  <c r="AM104" i="11" s="1"/>
  <c r="AI104" i="11"/>
  <c r="AH114" i="11" s="1"/>
  <c r="AG107" i="11"/>
  <c r="AG102" i="11" s="1"/>
  <c r="AF113" i="11" s="1"/>
  <c r="AE107" i="11"/>
  <c r="AE106" i="11" s="1"/>
  <c r="AD115" i="11" s="1"/>
  <c r="AJ107" i="11"/>
  <c r="AJ102" i="11" s="1"/>
  <c r="AI113" i="11" s="1"/>
  <c r="AQ103" i="11"/>
  <c r="AQ105" i="11"/>
  <c r="AQ101" i="11"/>
  <c r="AF107" i="11"/>
  <c r="AF106" i="11" s="1"/>
  <c r="AQ99" i="11"/>
  <c r="AP79" i="11"/>
  <c r="AP76" i="11" s="1"/>
  <c r="AO86" i="11" s="1"/>
  <c r="AO79" i="11"/>
  <c r="AO74" i="11" s="1"/>
  <c r="AN85" i="11" s="1"/>
  <c r="AK74" i="11"/>
  <c r="AJ85" i="11" s="1"/>
  <c r="AH74" i="11"/>
  <c r="AG85" i="11" s="1"/>
  <c r="AH72" i="11"/>
  <c r="AG79" i="11"/>
  <c r="AM79" i="11"/>
  <c r="AM78" i="11" s="1"/>
  <c r="AL87" i="11" s="1"/>
  <c r="AF79" i="11"/>
  <c r="AF78" i="11" s="1"/>
  <c r="AE87" i="11" s="1"/>
  <c r="AH76" i="11"/>
  <c r="AG86" i="11" s="1"/>
  <c r="AE79" i="11"/>
  <c r="AK72" i="11" l="1"/>
  <c r="AK78" i="11"/>
  <c r="AJ87" i="11" s="1"/>
  <c r="AL72" i="11"/>
  <c r="AI102" i="11"/>
  <c r="AH113" i="11" s="1"/>
  <c r="AO104" i="11"/>
  <c r="AN114" i="11" s="1"/>
  <c r="AN104" i="11"/>
  <c r="AM114" i="11" s="1"/>
  <c r="AJ74" i="11"/>
  <c r="AI85" i="11" s="1"/>
  <c r="AP78" i="11"/>
  <c r="AO87" i="11" s="1"/>
  <c r="AP72" i="11"/>
  <c r="AO84" i="11" s="1"/>
  <c r="AO76" i="11"/>
  <c r="AN86" i="11" s="1"/>
  <c r="AN78" i="11"/>
  <c r="AM87" i="11" s="1"/>
  <c r="AN76" i="11"/>
  <c r="AM86" i="11" s="1"/>
  <c r="AN72" i="11"/>
  <c r="AM84" i="11" s="1"/>
  <c r="AL78" i="11"/>
  <c r="AK87" i="11" s="1"/>
  <c r="AL74" i="11"/>
  <c r="AK85" i="11" s="1"/>
  <c r="AJ72" i="11"/>
  <c r="AI84" i="11" s="1"/>
  <c r="AJ78" i="11"/>
  <c r="AI87" i="11" s="1"/>
  <c r="AI72" i="11"/>
  <c r="AH84" i="11" s="1"/>
  <c r="AI78" i="11"/>
  <c r="AH87" i="11" s="1"/>
  <c r="AI74" i="11"/>
  <c r="AH85" i="11" s="1"/>
  <c r="AJ84" i="11"/>
  <c r="AJ88" i="11" s="1"/>
  <c r="AM106" i="11"/>
  <c r="AF104" i="11"/>
  <c r="AP86" i="11" s="1"/>
  <c r="AK84" i="11"/>
  <c r="AF100" i="11"/>
  <c r="AE112" i="11" s="1"/>
  <c r="AJ106" i="11"/>
  <c r="AF102" i="11"/>
  <c r="AH80" i="11"/>
  <c r="AG84" i="11"/>
  <c r="AG88" i="11" s="1"/>
  <c r="AH112" i="11"/>
  <c r="AE100" i="11"/>
  <c r="AD112" i="11" s="1"/>
  <c r="AG78" i="11"/>
  <c r="AF87" i="11" s="1"/>
  <c r="AQ79" i="11"/>
  <c r="AG72" i="11"/>
  <c r="AF84" i="11" s="1"/>
  <c r="AG74" i="11"/>
  <c r="AF85" i="11" s="1"/>
  <c r="AG76" i="11"/>
  <c r="AF86" i="11" s="1"/>
  <c r="AP102" i="11"/>
  <c r="AO113" i="11" s="1"/>
  <c r="AP106" i="11"/>
  <c r="AO115" i="11" s="1"/>
  <c r="AP104" i="11"/>
  <c r="AO106" i="11"/>
  <c r="AN115" i="11" s="1"/>
  <c r="AO102" i="11"/>
  <c r="AN113" i="11" s="1"/>
  <c r="AN100" i="11"/>
  <c r="AN102" i="11"/>
  <c r="AM113" i="11" s="1"/>
  <c r="AM115" i="11"/>
  <c r="AM100" i="11"/>
  <c r="AM102" i="11"/>
  <c r="AL113" i="11" s="1"/>
  <c r="AL115" i="11"/>
  <c r="AL114" i="11"/>
  <c r="AL100" i="11"/>
  <c r="AL104" i="11"/>
  <c r="AK114" i="11" s="1"/>
  <c r="AK115" i="11"/>
  <c r="AL102" i="11"/>
  <c r="AK113" i="11" s="1"/>
  <c r="AK100" i="11"/>
  <c r="AK102" i="11"/>
  <c r="AJ113" i="11" s="1"/>
  <c r="AJ114" i="11"/>
  <c r="AK106" i="11"/>
  <c r="AJ115" i="11" s="1"/>
  <c r="AJ100" i="11"/>
  <c r="AI112" i="11" s="1"/>
  <c r="AI115" i="11"/>
  <c r="AJ104" i="11"/>
  <c r="AI114" i="11" s="1"/>
  <c r="AH106" i="11"/>
  <c r="AG115" i="11" s="1"/>
  <c r="AH104" i="11"/>
  <c r="AH100" i="11"/>
  <c r="AG106" i="11"/>
  <c r="AF115" i="11" s="1"/>
  <c r="AG100" i="11"/>
  <c r="AG104" i="11"/>
  <c r="AF114" i="11" s="1"/>
  <c r="AE104" i="11"/>
  <c r="AD114" i="11" s="1"/>
  <c r="AE102" i="11"/>
  <c r="AD113" i="11" s="1"/>
  <c r="AE115" i="11"/>
  <c r="AP87" i="11"/>
  <c r="AN112" i="11"/>
  <c r="AO114" i="11"/>
  <c r="AQ107" i="11"/>
  <c r="AP74" i="11"/>
  <c r="AO85" i="11" s="1"/>
  <c r="AO72" i="11"/>
  <c r="AO78" i="11"/>
  <c r="AN87" i="11" s="1"/>
  <c r="AM72" i="11"/>
  <c r="AL84" i="11" s="1"/>
  <c r="AM74" i="11"/>
  <c r="AL85" i="11" s="1"/>
  <c r="AM76" i="11"/>
  <c r="AF76" i="11"/>
  <c r="AE86" i="11" s="1"/>
  <c r="AF72" i="11"/>
  <c r="AE84" i="11" s="1"/>
  <c r="AF74" i="11"/>
  <c r="AE85" i="11" s="1"/>
  <c r="AE78" i="11"/>
  <c r="AD87" i="11" s="1"/>
  <c r="AE76" i="11"/>
  <c r="AD86" i="11" s="1"/>
  <c r="AE74" i="11"/>
  <c r="AD85" i="11" s="1"/>
  <c r="AE72" i="11"/>
  <c r="AD84" i="11" s="1"/>
  <c r="AI108" i="11" l="1"/>
  <c r="AH116" i="11"/>
  <c r="AH108" i="11"/>
  <c r="AK80" i="11"/>
  <c r="AN116" i="11"/>
  <c r="AG108" i="11"/>
  <c r="AE88" i="11"/>
  <c r="AE114" i="11"/>
  <c r="AD116" i="11"/>
  <c r="AJ80" i="11"/>
  <c r="AH88" i="11"/>
  <c r="AO88" i="11"/>
  <c r="AP80" i="11"/>
  <c r="AO108" i="11"/>
  <c r="AM88" i="11"/>
  <c r="AN80" i="11"/>
  <c r="AK88" i="11"/>
  <c r="AL80" i="11"/>
  <c r="AI88" i="11"/>
  <c r="AI116" i="11"/>
  <c r="AI80" i="11"/>
  <c r="AG114" i="11"/>
  <c r="AM80" i="11"/>
  <c r="AL86" i="11"/>
  <c r="AL88" i="11" s="1"/>
  <c r="AD88" i="11"/>
  <c r="AO80" i="11"/>
  <c r="AN84" i="11"/>
  <c r="AN88" i="11" s="1"/>
  <c r="AE108" i="11"/>
  <c r="AG112" i="11"/>
  <c r="AF112" i="11"/>
  <c r="AF116" i="11" s="1"/>
  <c r="AG80" i="11"/>
  <c r="AF88" i="11"/>
  <c r="AL112" i="11"/>
  <c r="AL116" i="11" s="1"/>
  <c r="AM108" i="11"/>
  <c r="AJ108" i="11"/>
  <c r="AM112" i="11"/>
  <c r="AM116" i="11" s="1"/>
  <c r="AN108" i="11"/>
  <c r="AE113" i="11"/>
  <c r="AP85" i="11"/>
  <c r="AJ112" i="11"/>
  <c r="AJ116" i="11" s="1"/>
  <c r="AK108" i="11"/>
  <c r="AP84" i="11"/>
  <c r="AF108" i="11"/>
  <c r="AK112" i="11"/>
  <c r="AK116" i="11" s="1"/>
  <c r="AL108" i="11"/>
  <c r="AO112" i="11"/>
  <c r="AO116" i="11" s="1"/>
  <c r="AP108" i="11"/>
  <c r="AF80" i="11"/>
  <c r="AE80" i="11"/>
  <c r="AE116" i="11" l="1"/>
  <c r="AG116" i="11"/>
  <c r="E88" i="11"/>
  <c r="E76" i="11"/>
  <c r="E82" i="11"/>
  <c r="V39" i="43" l="1"/>
  <c r="V35" i="43" l="1"/>
  <c r="V23" i="43"/>
  <c r="V22" i="43"/>
  <c r="V16" i="43"/>
  <c r="V15" i="43"/>
  <c r="V14" i="43"/>
  <c r="V9" i="43"/>
  <c r="V8" i="43"/>
  <c r="V7" i="43"/>
  <c r="V17" i="43" l="1"/>
  <c r="V24" i="43"/>
  <c r="V10" i="43"/>
  <c r="W110" i="11" l="1"/>
  <c r="B70" i="14"/>
  <c r="C70" i="14"/>
  <c r="D70" i="14"/>
  <c r="E70" i="14"/>
  <c r="F70" i="14"/>
  <c r="G70" i="14"/>
  <c r="H70" i="14"/>
  <c r="I70" i="14"/>
  <c r="J70" i="14"/>
  <c r="K70" i="14"/>
  <c r="L70" i="14"/>
  <c r="M70" i="14"/>
  <c r="H10" i="25" l="1"/>
  <c r="O6" i="8" l="1"/>
  <c r="O7" i="8"/>
  <c r="O8" i="8"/>
  <c r="C10" i="43" l="1"/>
  <c r="F10" i="43"/>
  <c r="I10" i="43"/>
  <c r="L10" i="43"/>
  <c r="O10" i="43"/>
  <c r="R10" i="43"/>
  <c r="C17" i="43"/>
  <c r="D44" i="43" s="1"/>
  <c r="H44" i="43"/>
  <c r="I17" i="43"/>
  <c r="J44" i="43" s="1"/>
  <c r="L17" i="43"/>
  <c r="M44" i="43" s="1"/>
  <c r="O17" i="43"/>
  <c r="P44" i="43" s="1"/>
  <c r="R17" i="43"/>
  <c r="C24" i="43"/>
  <c r="F24" i="43"/>
  <c r="I24" i="43"/>
  <c r="L24" i="43"/>
  <c r="O24" i="43"/>
  <c r="P43" i="43" s="1"/>
  <c r="R24" i="43"/>
  <c r="V43" i="43"/>
  <c r="V44" i="43"/>
  <c r="V50" i="43"/>
  <c r="V51" i="43"/>
  <c r="V52" i="43"/>
  <c r="C53" i="43"/>
  <c r="D83" i="43" s="1"/>
  <c r="F53" i="43"/>
  <c r="G83" i="43" s="1"/>
  <c r="I53" i="43"/>
  <c r="J83" i="43" s="1"/>
  <c r="L53" i="43"/>
  <c r="M83" i="43" s="1"/>
  <c r="O53" i="43"/>
  <c r="P83" i="43" s="1"/>
  <c r="R53" i="43"/>
  <c r="S83" i="43" s="1"/>
  <c r="V56" i="43"/>
  <c r="V57" i="43"/>
  <c r="V58" i="43"/>
  <c r="C59" i="43"/>
  <c r="F59" i="43"/>
  <c r="I59" i="43"/>
  <c r="J84" i="43" s="1"/>
  <c r="L59" i="43"/>
  <c r="M84" i="43" s="1"/>
  <c r="O59" i="43"/>
  <c r="R59" i="43"/>
  <c r="S84" i="43" s="1"/>
  <c r="V83" i="43"/>
  <c r="V84" i="43"/>
  <c r="A28" i="25" s="1"/>
  <c r="G84" i="43" l="1"/>
  <c r="D22" i="25"/>
  <c r="S44" i="43"/>
  <c r="T44" i="43" s="1"/>
  <c r="P84" i="43"/>
  <c r="Q84" i="43" s="1"/>
  <c r="D84" i="43"/>
  <c r="N84" i="43"/>
  <c r="L110" i="43"/>
  <c r="J43" i="43"/>
  <c r="K43" i="43" s="1"/>
  <c r="G43" i="43"/>
  <c r="H43" i="43" s="1"/>
  <c r="D43" i="43"/>
  <c r="Q83" i="43"/>
  <c r="K109" i="43"/>
  <c r="H83" i="43"/>
  <c r="Q43" i="43"/>
  <c r="Q44" i="43"/>
  <c r="G110" i="43"/>
  <c r="S43" i="43"/>
  <c r="T43" i="43" s="1"/>
  <c r="M43" i="43"/>
  <c r="F109" i="43" s="1"/>
  <c r="K110" i="43"/>
  <c r="K84" i="43"/>
  <c r="D110" i="43"/>
  <c r="N110" i="43"/>
  <c r="T84" i="43"/>
  <c r="J110" i="43"/>
  <c r="H84" i="43"/>
  <c r="L109" i="43"/>
  <c r="E110" i="43"/>
  <c r="V59" i="43"/>
  <c r="V53" i="43"/>
  <c r="F110" i="43"/>
  <c r="N44" i="43"/>
  <c r="H110" i="43" l="1"/>
  <c r="M110" i="43"/>
  <c r="W84" i="43"/>
  <c r="I110" i="43"/>
  <c r="E84" i="43"/>
  <c r="E83" i="43"/>
  <c r="W83" i="43"/>
  <c r="G109" i="43"/>
  <c r="N43" i="43"/>
  <c r="D109" i="43"/>
  <c r="K83" i="43"/>
  <c r="I109" i="43"/>
  <c r="M109" i="43"/>
  <c r="J109" i="43"/>
  <c r="H109" i="43"/>
  <c r="E109" i="43"/>
  <c r="N83" i="43"/>
  <c r="K44" i="43"/>
  <c r="N109" i="43"/>
  <c r="T83" i="43"/>
  <c r="C109" i="43"/>
  <c r="E43" i="43"/>
  <c r="W43" i="43"/>
  <c r="E44" i="43"/>
  <c r="W44" i="43"/>
  <c r="C110" i="43"/>
  <c r="D20" i="25" l="1"/>
  <c r="D24" i="25" l="1"/>
  <c r="K9" i="13"/>
  <c r="L9" i="13"/>
  <c r="M9" i="13"/>
  <c r="M27" i="13" l="1"/>
  <c r="M28" i="13"/>
  <c r="M25" i="13"/>
  <c r="M26" i="13"/>
  <c r="N119" i="42"/>
  <c r="M119" i="42"/>
  <c r="L119" i="42"/>
  <c r="K119" i="42"/>
  <c r="J119" i="42"/>
  <c r="I119" i="42"/>
  <c r="H119" i="42"/>
  <c r="G119" i="42"/>
  <c r="F119" i="42"/>
  <c r="E119" i="42"/>
  <c r="D119" i="42"/>
  <c r="C119" i="42"/>
  <c r="N118" i="42"/>
  <c r="M118" i="42"/>
  <c r="L118" i="42"/>
  <c r="K118" i="42"/>
  <c r="J118" i="42"/>
  <c r="I118" i="42"/>
  <c r="H118" i="42"/>
  <c r="G118" i="42"/>
  <c r="F118" i="42"/>
  <c r="E118" i="42"/>
  <c r="D118" i="42"/>
  <c r="C118" i="42"/>
  <c r="N117" i="42"/>
  <c r="N120" i="42" s="1"/>
  <c r="M117" i="42"/>
  <c r="M120" i="42" s="1"/>
  <c r="L117" i="42"/>
  <c r="L120" i="42" s="1"/>
  <c r="K117" i="42"/>
  <c r="K120" i="42" s="1"/>
  <c r="J117" i="42"/>
  <c r="J120" i="42" s="1"/>
  <c r="I117" i="42"/>
  <c r="I120" i="42" s="1"/>
  <c r="H117" i="42"/>
  <c r="H120" i="42" s="1"/>
  <c r="G117" i="42"/>
  <c r="G120" i="42" s="1"/>
  <c r="F117" i="42"/>
  <c r="F120" i="42" s="1"/>
  <c r="E117" i="42"/>
  <c r="E120" i="42" s="1"/>
  <c r="D117" i="42"/>
  <c r="D120" i="42" s="1"/>
  <c r="C117" i="42"/>
  <c r="C120" i="42" s="1"/>
  <c r="Y51" i="42"/>
  <c r="W51" i="42"/>
  <c r="U51" i="42"/>
  <c r="S51" i="42"/>
  <c r="Q51" i="42"/>
  <c r="R51" i="42" s="1"/>
  <c r="O51" i="42"/>
  <c r="M51" i="42"/>
  <c r="N50" i="42" s="1"/>
  <c r="K51" i="42"/>
  <c r="I51" i="42"/>
  <c r="J47" i="42" s="1"/>
  <c r="G51" i="42"/>
  <c r="E51" i="42"/>
  <c r="F51" i="42" s="1"/>
  <c r="C51" i="42"/>
  <c r="AC50" i="42"/>
  <c r="AA50" i="42"/>
  <c r="AC49" i="42"/>
  <c r="AA49" i="42"/>
  <c r="AC48" i="42"/>
  <c r="AA48" i="42"/>
  <c r="AC47" i="42"/>
  <c r="AA47" i="42"/>
  <c r="AC46" i="42"/>
  <c r="AA46" i="42"/>
  <c r="Y43" i="42"/>
  <c r="W43" i="42"/>
  <c r="U43" i="42"/>
  <c r="S43" i="42"/>
  <c r="Q43" i="42"/>
  <c r="O43" i="42"/>
  <c r="N43" i="42"/>
  <c r="K43" i="42"/>
  <c r="L42" i="42" s="1"/>
  <c r="I43" i="42"/>
  <c r="J43" i="42" s="1"/>
  <c r="G43" i="42"/>
  <c r="H41" i="42" s="1"/>
  <c r="E43" i="42"/>
  <c r="F43" i="42" s="1"/>
  <c r="C43" i="42"/>
  <c r="D42" i="42" s="1"/>
  <c r="AC42" i="42"/>
  <c r="AA42" i="42"/>
  <c r="AC41" i="42"/>
  <c r="AA41" i="42"/>
  <c r="AC40" i="42"/>
  <c r="AA40" i="42"/>
  <c r="AC39" i="42"/>
  <c r="AA39" i="42"/>
  <c r="AC38" i="42"/>
  <c r="AA38" i="42"/>
  <c r="Y35" i="42"/>
  <c r="W35" i="42"/>
  <c r="U35" i="42"/>
  <c r="S35" i="42"/>
  <c r="Q35" i="42"/>
  <c r="O35" i="42"/>
  <c r="M35" i="42"/>
  <c r="N33" i="42" s="1"/>
  <c r="K35" i="42"/>
  <c r="L33" i="42" s="1"/>
  <c r="I35" i="42"/>
  <c r="J31" i="42" s="1"/>
  <c r="G35" i="42"/>
  <c r="E35" i="42"/>
  <c r="F34" i="42" s="1"/>
  <c r="C35" i="42"/>
  <c r="D34" i="42" s="1"/>
  <c r="AC34" i="42"/>
  <c r="AA34" i="42"/>
  <c r="AC33" i="42"/>
  <c r="AA33" i="42"/>
  <c r="AC32" i="42"/>
  <c r="AA32" i="42"/>
  <c r="AC31" i="42"/>
  <c r="AA31" i="42"/>
  <c r="AC30" i="42"/>
  <c r="AA30" i="42"/>
  <c r="Y27" i="42"/>
  <c r="W27" i="42"/>
  <c r="X25" i="42" s="1"/>
  <c r="U27" i="42"/>
  <c r="V23" i="42" s="1"/>
  <c r="S27" i="42"/>
  <c r="T27" i="42" s="1"/>
  <c r="Q27" i="42"/>
  <c r="R26" i="42" s="1"/>
  <c r="O27" i="42"/>
  <c r="P27" i="42" s="1"/>
  <c r="M27" i="42"/>
  <c r="N23" i="42" s="1"/>
  <c r="K27" i="42"/>
  <c r="L26" i="42" s="1"/>
  <c r="I27" i="42"/>
  <c r="J25" i="42" s="1"/>
  <c r="G27" i="42"/>
  <c r="H27" i="42" s="1"/>
  <c r="E27" i="42"/>
  <c r="F23" i="42" s="1"/>
  <c r="C27" i="42"/>
  <c r="D26" i="42" s="1"/>
  <c r="AC26" i="42"/>
  <c r="AA26" i="42"/>
  <c r="AC25" i="42"/>
  <c r="AA25" i="42"/>
  <c r="AC24" i="42"/>
  <c r="AA24" i="42"/>
  <c r="AC23" i="42"/>
  <c r="AA23" i="42"/>
  <c r="AC22" i="42"/>
  <c r="AA22" i="42"/>
  <c r="Y19" i="42"/>
  <c r="Z16" i="42" s="1"/>
  <c r="W19" i="42"/>
  <c r="X17" i="42" s="1"/>
  <c r="U19" i="42"/>
  <c r="V17" i="42" s="1"/>
  <c r="S19" i="42"/>
  <c r="T18" i="42" s="1"/>
  <c r="Q19" i="42"/>
  <c r="O19" i="42"/>
  <c r="P17" i="42" s="1"/>
  <c r="M19" i="42"/>
  <c r="K19" i="42"/>
  <c r="L18" i="42" s="1"/>
  <c r="I19" i="42"/>
  <c r="J18" i="42" s="1"/>
  <c r="E19" i="42"/>
  <c r="F17" i="42" s="1"/>
  <c r="C19" i="42"/>
  <c r="D18" i="42" s="1"/>
  <c r="AC18" i="42"/>
  <c r="AA18" i="42"/>
  <c r="AC17" i="42"/>
  <c r="AA17" i="42"/>
  <c r="AC16" i="42"/>
  <c r="AA16" i="42"/>
  <c r="J16" i="42"/>
  <c r="AA12" i="42"/>
  <c r="AA11" i="42"/>
  <c r="Y10" i="42"/>
  <c r="Y13" i="42" s="1"/>
  <c r="W10" i="42"/>
  <c r="X6" i="42" s="1"/>
  <c r="U10" i="42"/>
  <c r="S10" i="42"/>
  <c r="T8" i="42" s="1"/>
  <c r="Q10" i="42"/>
  <c r="Q13" i="42" s="1"/>
  <c r="O10" i="42"/>
  <c r="O13" i="42" s="1"/>
  <c r="M10" i="42"/>
  <c r="M13" i="42" s="1"/>
  <c r="K10" i="42"/>
  <c r="K13" i="42" s="1"/>
  <c r="I10" i="42"/>
  <c r="I13" i="42" s="1"/>
  <c r="G10" i="42"/>
  <c r="G13" i="42" s="1"/>
  <c r="E10" i="42"/>
  <c r="E13" i="42" s="1"/>
  <c r="C10" i="42"/>
  <c r="C13" i="42" s="1"/>
  <c r="AC9" i="42"/>
  <c r="AA9" i="42"/>
  <c r="AC8" i="42"/>
  <c r="AA8" i="42"/>
  <c r="AC7" i="42"/>
  <c r="AA7" i="42"/>
  <c r="AC6" i="42"/>
  <c r="AA6" i="42"/>
  <c r="L49" i="42" l="1"/>
  <c r="L50" i="42"/>
  <c r="J11" i="42"/>
  <c r="J12" i="42"/>
  <c r="F12" i="42"/>
  <c r="F11" i="42"/>
  <c r="Z17" i="42"/>
  <c r="Z7" i="42"/>
  <c r="V18" i="42"/>
  <c r="P11" i="42"/>
  <c r="P12" i="42"/>
  <c r="L9" i="42"/>
  <c r="L6" i="42"/>
  <c r="L22" i="42"/>
  <c r="H23" i="42"/>
  <c r="Z31" i="42"/>
  <c r="Z34" i="42"/>
  <c r="Z30" i="42"/>
  <c r="Z33" i="42"/>
  <c r="Z32" i="42"/>
  <c r="P51" i="42"/>
  <c r="P48" i="42"/>
  <c r="P46" i="42"/>
  <c r="P47" i="42"/>
  <c r="P50" i="42"/>
  <c r="P49" i="42"/>
  <c r="H51" i="42"/>
  <c r="H48" i="42"/>
  <c r="H47" i="42"/>
  <c r="H50" i="42"/>
  <c r="H46" i="42"/>
  <c r="H49" i="42"/>
  <c r="D50" i="42"/>
  <c r="D46" i="42"/>
  <c r="F47" i="42"/>
  <c r="Z48" i="42"/>
  <c r="Z47" i="42"/>
  <c r="Z50" i="42"/>
  <c r="Z46" i="42"/>
  <c r="Z49" i="42"/>
  <c r="F48" i="42"/>
  <c r="F46" i="42"/>
  <c r="F49" i="42"/>
  <c r="Z39" i="42"/>
  <c r="Z42" i="42"/>
  <c r="Z38" i="42"/>
  <c r="Z41" i="42"/>
  <c r="Z40" i="42"/>
  <c r="Z18" i="42"/>
  <c r="J17" i="42"/>
  <c r="J19" i="42" s="1"/>
  <c r="Z12" i="42"/>
  <c r="Z11" i="42"/>
  <c r="J9" i="42"/>
  <c r="Z6" i="42"/>
  <c r="R9" i="42"/>
  <c r="P30" i="42"/>
  <c r="N48" i="42"/>
  <c r="N49" i="42"/>
  <c r="N31" i="42"/>
  <c r="L47" i="42"/>
  <c r="L48" i="42"/>
  <c r="L32" i="42"/>
  <c r="J38" i="42"/>
  <c r="V16" i="42"/>
  <c r="V19" i="42" s="1"/>
  <c r="L30" i="42"/>
  <c r="H22" i="42"/>
  <c r="X26" i="42"/>
  <c r="N30" i="42"/>
  <c r="L31" i="42"/>
  <c r="D32" i="42"/>
  <c r="L39" i="42"/>
  <c r="P22" i="42"/>
  <c r="L34" i="42"/>
  <c r="H30" i="42"/>
  <c r="H31" i="42"/>
  <c r="H32" i="42"/>
  <c r="H24" i="42"/>
  <c r="H11" i="42"/>
  <c r="H12" i="42"/>
  <c r="F32" i="42"/>
  <c r="D39" i="42"/>
  <c r="D31" i="42"/>
  <c r="J48" i="42"/>
  <c r="X51" i="42"/>
  <c r="X47" i="42"/>
  <c r="X46" i="42"/>
  <c r="X48" i="42"/>
  <c r="X49" i="42"/>
  <c r="X50" i="42"/>
  <c r="F30" i="42"/>
  <c r="F31" i="42"/>
  <c r="F33" i="42"/>
  <c r="J51" i="42"/>
  <c r="D17" i="42"/>
  <c r="L23" i="42"/>
  <c r="J24" i="42"/>
  <c r="L25" i="42"/>
  <c r="H33" i="42"/>
  <c r="J49" i="42"/>
  <c r="J50" i="42"/>
  <c r="L24" i="42"/>
  <c r="T25" i="42"/>
  <c r="P33" i="42"/>
  <c r="H34" i="42"/>
  <c r="H38" i="42"/>
  <c r="H40" i="42"/>
  <c r="J46" i="42"/>
  <c r="F50" i="42"/>
  <c r="D49" i="42"/>
  <c r="D48" i="42"/>
  <c r="D47" i="42"/>
  <c r="X43" i="42"/>
  <c r="X42" i="42"/>
  <c r="X39" i="42"/>
  <c r="X40" i="42"/>
  <c r="X41" i="42"/>
  <c r="X38" i="42"/>
  <c r="N39" i="42"/>
  <c r="N40" i="42"/>
  <c r="N38" i="42"/>
  <c r="F39" i="42"/>
  <c r="F38" i="42"/>
  <c r="F40" i="42"/>
  <c r="X33" i="42"/>
  <c r="X32" i="42"/>
  <c r="X34" i="42"/>
  <c r="X31" i="42"/>
  <c r="X30" i="42"/>
  <c r="P34" i="42"/>
  <c r="N34" i="42"/>
  <c r="J33" i="42"/>
  <c r="J32" i="42"/>
  <c r="Z25" i="42"/>
  <c r="H25" i="42"/>
  <c r="H26" i="42"/>
  <c r="F22" i="42"/>
  <c r="F26" i="42"/>
  <c r="D22" i="42"/>
  <c r="D25" i="42"/>
  <c r="D23" i="42"/>
  <c r="D24" i="42"/>
  <c r="D16" i="42"/>
  <c r="P9" i="42"/>
  <c r="N6" i="42"/>
  <c r="N7" i="42"/>
  <c r="N8" i="42"/>
  <c r="N9" i="42"/>
  <c r="H9" i="42"/>
  <c r="F7" i="42"/>
  <c r="F9" i="42"/>
  <c r="F8" i="42"/>
  <c r="F6" i="42"/>
  <c r="D6" i="42"/>
  <c r="D9" i="42"/>
  <c r="Z24" i="42"/>
  <c r="AA19" i="42"/>
  <c r="AB16" i="42" s="1"/>
  <c r="X23" i="42"/>
  <c r="X22" i="42"/>
  <c r="X24" i="42"/>
  <c r="H8" i="42"/>
  <c r="P8" i="42"/>
  <c r="H6" i="42"/>
  <c r="J7" i="42"/>
  <c r="R7" i="42"/>
  <c r="J8" i="42"/>
  <c r="R8" i="42"/>
  <c r="N16" i="42"/>
  <c r="N18" i="42"/>
  <c r="J30" i="42"/>
  <c r="P31" i="42"/>
  <c r="N32" i="42"/>
  <c r="D33" i="42"/>
  <c r="J34" i="42"/>
  <c r="J40" i="42"/>
  <c r="D41" i="42"/>
  <c r="H42" i="42"/>
  <c r="V42" i="42"/>
  <c r="V40" i="42"/>
  <c r="V41" i="42"/>
  <c r="V39" i="42"/>
  <c r="V38" i="42"/>
  <c r="L46" i="42"/>
  <c r="N47" i="42"/>
  <c r="N51" i="42"/>
  <c r="V47" i="42"/>
  <c r="V46" i="42"/>
  <c r="V48" i="42"/>
  <c r="V50" i="42"/>
  <c r="V49" i="42"/>
  <c r="H7" i="42"/>
  <c r="P7" i="42"/>
  <c r="V31" i="42"/>
  <c r="V30" i="42"/>
  <c r="V32" i="42"/>
  <c r="V33" i="42"/>
  <c r="V34" i="42"/>
  <c r="P6" i="42"/>
  <c r="X9" i="42"/>
  <c r="N17" i="42"/>
  <c r="N26" i="42"/>
  <c r="J6" i="42"/>
  <c r="R6" i="42"/>
  <c r="D7" i="42"/>
  <c r="L7" i="42"/>
  <c r="T7" i="42"/>
  <c r="D8" i="42"/>
  <c r="L8" i="42"/>
  <c r="Z8" i="42"/>
  <c r="Z9" i="42"/>
  <c r="U13" i="42"/>
  <c r="V13" i="42" s="1"/>
  <c r="V6" i="42"/>
  <c r="R16" i="42"/>
  <c r="R19" i="42" s="1"/>
  <c r="R17" i="42"/>
  <c r="R18" i="42"/>
  <c r="N22" i="42"/>
  <c r="P23" i="42"/>
  <c r="P24" i="42"/>
  <c r="P25" i="42"/>
  <c r="P26" i="42"/>
  <c r="D30" i="42"/>
  <c r="P32" i="42"/>
  <c r="J39" i="42"/>
  <c r="L41" i="42"/>
  <c r="P43" i="42"/>
  <c r="P39" i="42"/>
  <c r="P38" i="42"/>
  <c r="P40" i="42"/>
  <c r="P41" i="42"/>
  <c r="P42" i="42"/>
  <c r="N46" i="42"/>
  <c r="V22" i="42"/>
  <c r="V26" i="42"/>
  <c r="AC19" i="42"/>
  <c r="V9" i="42"/>
  <c r="V7" i="42"/>
  <c r="V8" i="42"/>
  <c r="T47" i="42"/>
  <c r="T46" i="42"/>
  <c r="T48" i="42"/>
  <c r="T49" i="42"/>
  <c r="T50" i="42"/>
  <c r="T39" i="42"/>
  <c r="T38" i="42"/>
  <c r="T42" i="42"/>
  <c r="T40" i="42"/>
  <c r="T41" i="42"/>
  <c r="T34" i="42"/>
  <c r="T32" i="42"/>
  <c r="T31" i="42"/>
  <c r="T30" i="42"/>
  <c r="T33" i="42"/>
  <c r="T22" i="42"/>
  <c r="T24" i="42"/>
  <c r="T23" i="42"/>
  <c r="R33" i="42"/>
  <c r="R34" i="42"/>
  <c r="R30" i="42"/>
  <c r="R32" i="42"/>
  <c r="R31" i="42"/>
  <c r="AC51" i="42"/>
  <c r="R47" i="42"/>
  <c r="R46" i="42"/>
  <c r="R49" i="42"/>
  <c r="R50" i="42"/>
  <c r="R48" i="42"/>
  <c r="AC43" i="42"/>
  <c r="AA43" i="42"/>
  <c r="AB38" i="42" s="1"/>
  <c r="R43" i="42"/>
  <c r="R41" i="42"/>
  <c r="R40" i="42"/>
  <c r="R42" i="42"/>
  <c r="R38" i="42"/>
  <c r="R39" i="42"/>
  <c r="AC35" i="42"/>
  <c r="AA35" i="42"/>
  <c r="AB34" i="42" s="1"/>
  <c r="R25" i="42"/>
  <c r="AA27" i="42"/>
  <c r="AB23" i="42" s="1"/>
  <c r="AC27" i="42"/>
  <c r="R24" i="42"/>
  <c r="H13" i="42"/>
  <c r="P13" i="42"/>
  <c r="F13" i="42"/>
  <c r="J13" i="42"/>
  <c r="R11" i="42"/>
  <c r="R13" i="42"/>
  <c r="R12" i="42"/>
  <c r="Z13" i="42"/>
  <c r="N12" i="42"/>
  <c r="N13" i="42"/>
  <c r="N11" i="42"/>
  <c r="AC10" i="42"/>
  <c r="AA10" i="42"/>
  <c r="AB6" i="42" s="1"/>
  <c r="D11" i="42"/>
  <c r="D13" i="42"/>
  <c r="D12" i="42"/>
  <c r="L11" i="42"/>
  <c r="L13" i="42"/>
  <c r="L12" i="42"/>
  <c r="T6" i="42"/>
  <c r="X8" i="42"/>
  <c r="S13" i="42"/>
  <c r="W13" i="42"/>
  <c r="F16" i="42"/>
  <c r="F19" i="42" s="1"/>
  <c r="P16" i="42"/>
  <c r="X16" i="42"/>
  <c r="L17" i="42"/>
  <c r="T17" i="42"/>
  <c r="F18" i="42"/>
  <c r="P18" i="42"/>
  <c r="X18" i="42"/>
  <c r="J23" i="42"/>
  <c r="R23" i="42"/>
  <c r="Z23" i="42"/>
  <c r="F25" i="42"/>
  <c r="N25" i="42"/>
  <c r="V25" i="42"/>
  <c r="F27" i="42"/>
  <c r="J27" i="42"/>
  <c r="N27" i="42"/>
  <c r="R27" i="42"/>
  <c r="F41" i="42"/>
  <c r="N41" i="42"/>
  <c r="J42" i="42"/>
  <c r="H43" i="42"/>
  <c r="AA51" i="42"/>
  <c r="AB47" i="42" s="1"/>
  <c r="X7" i="42"/>
  <c r="T9" i="42"/>
  <c r="J22" i="42"/>
  <c r="R22" i="42"/>
  <c r="Z22" i="42"/>
  <c r="F24" i="42"/>
  <c r="N24" i="42"/>
  <c r="V24" i="42"/>
  <c r="J26" i="42"/>
  <c r="Z26" i="42"/>
  <c r="D38" i="42"/>
  <c r="L38" i="42"/>
  <c r="H39" i="42"/>
  <c r="D40" i="42"/>
  <c r="L40" i="42"/>
  <c r="L16" i="42"/>
  <c r="T16" i="42"/>
  <c r="T26" i="42"/>
  <c r="J41" i="42"/>
  <c r="F42" i="42"/>
  <c r="N42" i="42"/>
  <c r="Z19" i="42" l="1"/>
  <c r="L10" i="42"/>
  <c r="X19" i="42"/>
  <c r="T19" i="42"/>
  <c r="P19" i="42"/>
  <c r="P10" i="42"/>
  <c r="N19" i="42"/>
  <c r="N35" i="42"/>
  <c r="L51" i="42"/>
  <c r="L35" i="42"/>
  <c r="L27" i="42"/>
  <c r="AB18" i="42"/>
  <c r="X10" i="42"/>
  <c r="J10" i="42"/>
  <c r="P35" i="42"/>
  <c r="D19" i="42"/>
  <c r="D27" i="42"/>
  <c r="H35" i="42"/>
  <c r="H10" i="42"/>
  <c r="F35" i="42"/>
  <c r="F10" i="42"/>
  <c r="D10" i="42"/>
  <c r="N10" i="42"/>
  <c r="R10" i="42"/>
  <c r="D51" i="42"/>
  <c r="V43" i="42"/>
  <c r="Z35" i="42"/>
  <c r="X35" i="42"/>
  <c r="V35" i="42"/>
  <c r="D35" i="42"/>
  <c r="Z43" i="42"/>
  <c r="Z51" i="42"/>
  <c r="L19" i="42"/>
  <c r="Z10" i="42"/>
  <c r="AC11" i="42"/>
  <c r="AB17" i="42"/>
  <c r="X27" i="42"/>
  <c r="X11" i="42"/>
  <c r="X12" i="42"/>
  <c r="J35" i="42"/>
  <c r="L43" i="42"/>
  <c r="Z27" i="42"/>
  <c r="V10" i="42"/>
  <c r="V12" i="42"/>
  <c r="V11" i="42"/>
  <c r="V51" i="42"/>
  <c r="V27" i="42"/>
  <c r="T51" i="42"/>
  <c r="AB40" i="42"/>
  <c r="T43" i="42"/>
  <c r="T35" i="42"/>
  <c r="T11" i="42"/>
  <c r="T12" i="42"/>
  <c r="AB26" i="42"/>
  <c r="AB32" i="42"/>
  <c r="AB31" i="42"/>
  <c r="AB30" i="42"/>
  <c r="AB33" i="42"/>
  <c r="AB49" i="42"/>
  <c r="AB50" i="42"/>
  <c r="AB48" i="42"/>
  <c r="AB42" i="42"/>
  <c r="AB41" i="42"/>
  <c r="AB39" i="42"/>
  <c r="AB25" i="42"/>
  <c r="AB22" i="42"/>
  <c r="R35" i="42"/>
  <c r="AB24" i="42"/>
  <c r="AB7" i="42"/>
  <c r="D43" i="42"/>
  <c r="AB46" i="42"/>
  <c r="AC12" i="42"/>
  <c r="T10" i="42"/>
  <c r="T13" i="42"/>
  <c r="X13" i="42"/>
  <c r="AA13" i="42"/>
  <c r="AB8" i="42"/>
  <c r="AB9" i="42"/>
  <c r="AB19" i="42" l="1"/>
  <c r="AC13" i="42"/>
  <c r="AB43" i="42"/>
  <c r="AB35" i="42"/>
  <c r="AB27" i="42"/>
  <c r="AB51" i="42"/>
  <c r="AB10" i="42"/>
  <c r="AB11" i="42"/>
  <c r="AB12" i="42"/>
  <c r="AB13" i="42" l="1"/>
  <c r="P18" i="13" l="1"/>
  <c r="K27" i="13"/>
  <c r="N22" i="13"/>
  <c r="N40" i="13" s="1"/>
  <c r="M41" i="13"/>
  <c r="L22" i="13"/>
  <c r="L42" i="13" s="1"/>
  <c r="K22" i="13"/>
  <c r="K39" i="13" s="1"/>
  <c r="J22" i="13"/>
  <c r="J40" i="13" s="1"/>
  <c r="I22" i="13"/>
  <c r="I41" i="13" s="1"/>
  <c r="G39" i="13"/>
  <c r="F22" i="13"/>
  <c r="F40" i="13" s="1"/>
  <c r="E22" i="13"/>
  <c r="E41" i="13" s="1"/>
  <c r="D22" i="13"/>
  <c r="D42" i="13" s="1"/>
  <c r="C22" i="13"/>
  <c r="C39" i="13" s="1"/>
  <c r="P21" i="13"/>
  <c r="O21" i="13"/>
  <c r="P20" i="13"/>
  <c r="O20" i="13"/>
  <c r="P19" i="13"/>
  <c r="O19" i="13"/>
  <c r="L25" i="13"/>
  <c r="K26" i="13"/>
  <c r="J27" i="13"/>
  <c r="I9" i="13"/>
  <c r="I28" i="13" s="1"/>
  <c r="H9" i="13"/>
  <c r="H25" i="13" s="1"/>
  <c r="G9" i="13"/>
  <c r="G26" i="13" s="1"/>
  <c r="F9" i="13"/>
  <c r="F27" i="13" s="1"/>
  <c r="E9" i="13"/>
  <c r="D9" i="13"/>
  <c r="D25" i="13" s="1"/>
  <c r="C26" i="13"/>
  <c r="P8" i="13"/>
  <c r="O8" i="13"/>
  <c r="P7" i="13"/>
  <c r="O7" i="13"/>
  <c r="P6" i="13"/>
  <c r="O6" i="13"/>
  <c r="E25" i="13" l="1"/>
  <c r="E27" i="13"/>
  <c r="E26" i="13"/>
  <c r="F28" i="13"/>
  <c r="C27" i="13"/>
  <c r="J28" i="13"/>
  <c r="N41" i="13"/>
  <c r="G27" i="13"/>
  <c r="D39" i="13"/>
  <c r="E42" i="13"/>
  <c r="J41" i="13"/>
  <c r="O18" i="13"/>
  <c r="F41" i="13"/>
  <c r="M42" i="13"/>
  <c r="L39" i="13"/>
  <c r="I42" i="13"/>
  <c r="P22" i="13"/>
  <c r="H22" i="13"/>
  <c r="H41" i="13" s="1"/>
  <c r="C40" i="13"/>
  <c r="F25" i="13"/>
  <c r="J25" i="13"/>
  <c r="I26" i="13"/>
  <c r="D27" i="13"/>
  <c r="H27" i="13"/>
  <c r="L27" i="13"/>
  <c r="C28" i="13"/>
  <c r="G28" i="13"/>
  <c r="K28" i="13"/>
  <c r="E39" i="13"/>
  <c r="I39" i="13"/>
  <c r="M39" i="13"/>
  <c r="D40" i="13"/>
  <c r="L40" i="13"/>
  <c r="C41" i="13"/>
  <c r="G41" i="13"/>
  <c r="K41" i="13"/>
  <c r="F42" i="13"/>
  <c r="J42" i="13"/>
  <c r="N42" i="13"/>
  <c r="I25" i="13"/>
  <c r="D26" i="13"/>
  <c r="H26" i="13"/>
  <c r="L26" i="13"/>
  <c r="G40" i="13"/>
  <c r="K40" i="13"/>
  <c r="C25" i="13"/>
  <c r="G25" i="13"/>
  <c r="K25" i="13"/>
  <c r="F26" i="13"/>
  <c r="J26" i="13"/>
  <c r="I27" i="13"/>
  <c r="D28" i="13"/>
  <c r="H28" i="13"/>
  <c r="L28" i="13"/>
  <c r="F39" i="13"/>
  <c r="J39" i="13"/>
  <c r="N39" i="13"/>
  <c r="E40" i="13"/>
  <c r="I40" i="13"/>
  <c r="M40" i="13"/>
  <c r="D41" i="13"/>
  <c r="L41" i="13"/>
  <c r="C42" i="13"/>
  <c r="G42" i="13"/>
  <c r="K42" i="13"/>
  <c r="C43" i="13" l="1"/>
  <c r="O22" i="13"/>
  <c r="D43" i="13"/>
  <c r="K29" i="13"/>
  <c r="M29" i="13"/>
  <c r="M43" i="13"/>
  <c r="H40" i="13"/>
  <c r="O40" i="13" s="1"/>
  <c r="K43" i="13"/>
  <c r="N43" i="13"/>
  <c r="G43" i="13"/>
  <c r="L43" i="13"/>
  <c r="L29" i="13"/>
  <c r="I29" i="13"/>
  <c r="J29" i="13"/>
  <c r="I43" i="13"/>
  <c r="H42" i="13"/>
  <c r="O42" i="13" s="1"/>
  <c r="H39" i="13"/>
  <c r="O39" i="13" s="1"/>
  <c r="H29" i="13"/>
  <c r="J43" i="13"/>
  <c r="D29" i="13"/>
  <c r="F43" i="13"/>
  <c r="C29" i="13"/>
  <c r="E29" i="13"/>
  <c r="E43" i="13"/>
  <c r="F29" i="13"/>
  <c r="O41" i="13"/>
  <c r="G29" i="13"/>
  <c r="H43" i="13" l="1"/>
  <c r="O43" i="13"/>
  <c r="C23" i="25" l="1"/>
  <c r="C21" i="25"/>
  <c r="C20" i="25"/>
  <c r="C19" i="25"/>
  <c r="C9" i="25"/>
  <c r="C7" i="25"/>
  <c r="C24" i="25" l="1"/>
  <c r="Y125" i="11"/>
  <c r="Z123" i="11" s="1"/>
  <c r="N130" i="11" s="1"/>
  <c r="W125" i="11"/>
  <c r="X124" i="11" s="1"/>
  <c r="M131" i="11" s="1"/>
  <c r="U125" i="11"/>
  <c r="V124" i="11" s="1"/>
  <c r="L131" i="11" s="1"/>
  <c r="S125" i="11"/>
  <c r="T124" i="11" s="1"/>
  <c r="K131" i="11" s="1"/>
  <c r="Q125" i="11"/>
  <c r="O125" i="11"/>
  <c r="P122" i="11" s="1"/>
  <c r="I129" i="11" s="1"/>
  <c r="M125" i="11"/>
  <c r="N124" i="11" s="1"/>
  <c r="H131" i="11" s="1"/>
  <c r="K125" i="11"/>
  <c r="L122" i="11" s="1"/>
  <c r="G129" i="11" s="1"/>
  <c r="I125" i="11"/>
  <c r="H124" i="11"/>
  <c r="E131" i="11" s="1"/>
  <c r="E125" i="11"/>
  <c r="F122" i="11" s="1"/>
  <c r="D129" i="11" s="1"/>
  <c r="C125" i="11"/>
  <c r="D122" i="11" s="1"/>
  <c r="C129" i="11" s="1"/>
  <c r="AB124" i="11"/>
  <c r="AA124" i="11"/>
  <c r="AB123" i="11"/>
  <c r="AA123" i="11"/>
  <c r="J123" i="11"/>
  <c r="F130" i="11" s="1"/>
  <c r="AB122" i="11"/>
  <c r="AA122" i="11"/>
  <c r="AB121" i="11"/>
  <c r="AA121" i="11"/>
  <c r="Z121" i="11"/>
  <c r="N128" i="11" s="1"/>
  <c r="J121" i="11"/>
  <c r="F128" i="11" s="1"/>
  <c r="Y110" i="11"/>
  <c r="Z107" i="11" s="1"/>
  <c r="U110" i="11"/>
  <c r="V108" i="11" s="1"/>
  <c r="S110" i="11"/>
  <c r="T106" i="11" s="1"/>
  <c r="Q110" i="11"/>
  <c r="O110" i="11"/>
  <c r="P107" i="11" s="1"/>
  <c r="M110" i="11"/>
  <c r="N109" i="11" s="1"/>
  <c r="K110" i="11"/>
  <c r="I110" i="11"/>
  <c r="J108" i="11" s="1"/>
  <c r="G110" i="11"/>
  <c r="H109" i="11" s="1"/>
  <c r="E110" i="11"/>
  <c r="C110" i="11"/>
  <c r="D108" i="11" s="1"/>
  <c r="AB109" i="11"/>
  <c r="AA109" i="11"/>
  <c r="X109" i="11"/>
  <c r="AB108" i="11"/>
  <c r="AA108" i="11"/>
  <c r="N108" i="11"/>
  <c r="AB107" i="11"/>
  <c r="AA107" i="11"/>
  <c r="X107" i="11"/>
  <c r="V107" i="11"/>
  <c r="N107" i="11"/>
  <c r="H107" i="11"/>
  <c r="AB106" i="11"/>
  <c r="AA106" i="11"/>
  <c r="V106" i="11"/>
  <c r="N106" i="11"/>
  <c r="Y104" i="11"/>
  <c r="Z102" i="11" s="1"/>
  <c r="W104" i="11"/>
  <c r="U104" i="11"/>
  <c r="V103" i="11" s="1"/>
  <c r="S104" i="11"/>
  <c r="T103" i="11" s="1"/>
  <c r="Q104" i="11"/>
  <c r="R109" i="11" s="1"/>
  <c r="O104" i="11"/>
  <c r="P101" i="11" s="1"/>
  <c r="M104" i="11"/>
  <c r="N103" i="11" s="1"/>
  <c r="K104" i="11"/>
  <c r="L103" i="11" s="1"/>
  <c r="I104" i="11"/>
  <c r="J100" i="11" s="1"/>
  <c r="G104" i="11"/>
  <c r="H103" i="11" s="1"/>
  <c r="E104" i="11"/>
  <c r="F101" i="11" s="1"/>
  <c r="C104" i="11"/>
  <c r="D103" i="11" s="1"/>
  <c r="AB103" i="11"/>
  <c r="AA103" i="11"/>
  <c r="AB102" i="11"/>
  <c r="AA102" i="11"/>
  <c r="T102" i="11"/>
  <c r="P102" i="11"/>
  <c r="AB101" i="11"/>
  <c r="AA101" i="11"/>
  <c r="L101" i="11"/>
  <c r="AB100" i="11"/>
  <c r="AA100" i="11"/>
  <c r="T100" i="11"/>
  <c r="L100" i="11"/>
  <c r="Y88" i="11"/>
  <c r="Z87" i="11" s="1"/>
  <c r="W88" i="11"/>
  <c r="X86" i="11" s="1"/>
  <c r="U88" i="11"/>
  <c r="V86" i="11" s="1"/>
  <c r="S88" i="11"/>
  <c r="T86" i="11" s="1"/>
  <c r="Q88" i="11"/>
  <c r="R85" i="11" s="1"/>
  <c r="M88" i="11"/>
  <c r="N87" i="11" s="1"/>
  <c r="K88" i="11"/>
  <c r="L86" i="11" s="1"/>
  <c r="I88" i="11"/>
  <c r="J87" i="11" s="1"/>
  <c r="G88" i="11"/>
  <c r="H85" i="11" s="1"/>
  <c r="F85" i="11"/>
  <c r="C88" i="11"/>
  <c r="D87" i="11" s="1"/>
  <c r="AB87" i="11"/>
  <c r="AA87" i="11"/>
  <c r="X87" i="11"/>
  <c r="P87" i="11"/>
  <c r="F87" i="11"/>
  <c r="AB86" i="11"/>
  <c r="AA86" i="11"/>
  <c r="P86" i="11"/>
  <c r="AB85" i="11"/>
  <c r="AA85" i="11"/>
  <c r="X85" i="11"/>
  <c r="P85" i="11"/>
  <c r="D85" i="11"/>
  <c r="AB84" i="11"/>
  <c r="AA84" i="11"/>
  <c r="P84" i="11"/>
  <c r="N84" i="11"/>
  <c r="F84" i="11"/>
  <c r="Y82" i="11"/>
  <c r="Z81" i="11" s="1"/>
  <c r="W82" i="11"/>
  <c r="X78" i="11" s="1"/>
  <c r="U82" i="11"/>
  <c r="V80" i="11" s="1"/>
  <c r="S82" i="11"/>
  <c r="T81" i="11" s="1"/>
  <c r="Q82" i="11"/>
  <c r="R80" i="11" s="1"/>
  <c r="M82" i="11"/>
  <c r="N81" i="11" s="1"/>
  <c r="K82" i="11"/>
  <c r="L81" i="11" s="1"/>
  <c r="I82" i="11"/>
  <c r="J81" i="11" s="1"/>
  <c r="G82" i="11"/>
  <c r="H79" i="11" s="1"/>
  <c r="C82" i="11"/>
  <c r="D79" i="11" s="1"/>
  <c r="AB81" i="11"/>
  <c r="AA81" i="11"/>
  <c r="P81" i="11"/>
  <c r="F81" i="11"/>
  <c r="AB80" i="11"/>
  <c r="AA80" i="11"/>
  <c r="P80" i="11"/>
  <c r="F80" i="11"/>
  <c r="AB79" i="11"/>
  <c r="AA79" i="11"/>
  <c r="P79" i="11"/>
  <c r="F79" i="11"/>
  <c r="AB78" i="11"/>
  <c r="AA78" i="11"/>
  <c r="R78" i="11"/>
  <c r="P78" i="11"/>
  <c r="F78" i="11"/>
  <c r="Y76" i="11"/>
  <c r="Z74" i="11" s="1"/>
  <c r="W76" i="11"/>
  <c r="X74" i="11" s="1"/>
  <c r="U76" i="11"/>
  <c r="V75" i="11" s="1"/>
  <c r="T76" i="11"/>
  <c r="Q76" i="11"/>
  <c r="R73" i="11" s="1"/>
  <c r="P76" i="11"/>
  <c r="M76" i="11"/>
  <c r="N76" i="11" s="1"/>
  <c r="K76" i="11"/>
  <c r="L75" i="11" s="1"/>
  <c r="I76" i="11"/>
  <c r="J76" i="11" s="1"/>
  <c r="G76" i="11"/>
  <c r="H73" i="11" s="1"/>
  <c r="F76" i="11"/>
  <c r="C76" i="11"/>
  <c r="D75" i="11" s="1"/>
  <c r="AB75" i="11"/>
  <c r="AA75" i="11"/>
  <c r="T75" i="11"/>
  <c r="P75" i="11"/>
  <c r="AB74" i="11"/>
  <c r="AA74" i="11"/>
  <c r="T74" i="11"/>
  <c r="P74" i="11"/>
  <c r="J74" i="11"/>
  <c r="AB73" i="11"/>
  <c r="AA73" i="11"/>
  <c r="T73" i="11"/>
  <c r="P73" i="11"/>
  <c r="AB72" i="11"/>
  <c r="AA72" i="11"/>
  <c r="T72" i="11"/>
  <c r="P72" i="11"/>
  <c r="N21" i="15"/>
  <c r="M21" i="15"/>
  <c r="L21" i="15"/>
  <c r="K21" i="15"/>
  <c r="J21" i="15"/>
  <c r="I21" i="15"/>
  <c r="H21" i="15"/>
  <c r="G21" i="15"/>
  <c r="F21" i="15"/>
  <c r="E21" i="15"/>
  <c r="D21" i="15"/>
  <c r="C21" i="15"/>
  <c r="P20" i="15"/>
  <c r="O20" i="15"/>
  <c r="P19" i="15"/>
  <c r="O19" i="15"/>
  <c r="P18" i="15"/>
  <c r="O18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P14" i="15"/>
  <c r="O14" i="15"/>
  <c r="P13" i="15"/>
  <c r="O13" i="15"/>
  <c r="P12" i="15"/>
  <c r="O12" i="15"/>
  <c r="N9" i="15"/>
  <c r="M9" i="15"/>
  <c r="L9" i="15"/>
  <c r="K9" i="15"/>
  <c r="J9" i="15"/>
  <c r="I9" i="15"/>
  <c r="H9" i="15"/>
  <c r="G9" i="15"/>
  <c r="F9" i="15"/>
  <c r="E9" i="15"/>
  <c r="D9" i="15"/>
  <c r="C9" i="15"/>
  <c r="P8" i="15"/>
  <c r="O8" i="15"/>
  <c r="P7" i="15"/>
  <c r="O7" i="15"/>
  <c r="P6" i="15"/>
  <c r="O6" i="15"/>
  <c r="N26" i="8"/>
  <c r="M26" i="8"/>
  <c r="L26" i="8"/>
  <c r="K26" i="8"/>
  <c r="J26" i="8"/>
  <c r="I26" i="8"/>
  <c r="H26" i="8"/>
  <c r="G26" i="8"/>
  <c r="F26" i="8"/>
  <c r="E26" i="8"/>
  <c r="D26" i="8"/>
  <c r="C26" i="8"/>
  <c r="N25" i="8"/>
  <c r="M25" i="8"/>
  <c r="L25" i="8"/>
  <c r="K25" i="8"/>
  <c r="J25" i="8"/>
  <c r="I25" i="8"/>
  <c r="H25" i="8"/>
  <c r="G25" i="8"/>
  <c r="F25" i="8"/>
  <c r="E25" i="8"/>
  <c r="D25" i="8"/>
  <c r="C25" i="8"/>
  <c r="N24" i="8"/>
  <c r="M24" i="8"/>
  <c r="L24" i="8"/>
  <c r="K24" i="8"/>
  <c r="J24" i="8"/>
  <c r="I24" i="8"/>
  <c r="H24" i="8"/>
  <c r="G24" i="8"/>
  <c r="F24" i="8"/>
  <c r="E24" i="8"/>
  <c r="D24" i="8"/>
  <c r="C24" i="8"/>
  <c r="N23" i="8"/>
  <c r="M23" i="8"/>
  <c r="L23" i="8"/>
  <c r="K23" i="8"/>
  <c r="J23" i="8"/>
  <c r="I23" i="8"/>
  <c r="H23" i="8"/>
  <c r="G23" i="8"/>
  <c r="F23" i="8"/>
  <c r="E23" i="8"/>
  <c r="D23" i="8"/>
  <c r="C23" i="8"/>
  <c r="N20" i="8"/>
  <c r="N43" i="8" s="1"/>
  <c r="M20" i="8"/>
  <c r="M44" i="8" s="1"/>
  <c r="L20" i="8"/>
  <c r="L41" i="8" s="1"/>
  <c r="K20" i="8"/>
  <c r="J20" i="8"/>
  <c r="J43" i="8" s="1"/>
  <c r="I20" i="8"/>
  <c r="I43" i="8" s="1"/>
  <c r="H20" i="8"/>
  <c r="H41" i="8" s="1"/>
  <c r="G20" i="8"/>
  <c r="F20" i="8"/>
  <c r="F43" i="8" s="1"/>
  <c r="E44" i="8"/>
  <c r="D20" i="8"/>
  <c r="D41" i="8" s="1"/>
  <c r="C20" i="8"/>
  <c r="P19" i="8"/>
  <c r="O19" i="8"/>
  <c r="P18" i="8"/>
  <c r="O18" i="8"/>
  <c r="P17" i="8"/>
  <c r="O17" i="8"/>
  <c r="P16" i="8"/>
  <c r="O16" i="8"/>
  <c r="N15" i="8"/>
  <c r="N39" i="8" s="1"/>
  <c r="M15" i="8"/>
  <c r="L15" i="8"/>
  <c r="L37" i="8" s="1"/>
  <c r="K15" i="8"/>
  <c r="K38" i="8" s="1"/>
  <c r="J15" i="8"/>
  <c r="J39" i="8" s="1"/>
  <c r="I15" i="8"/>
  <c r="H15" i="8"/>
  <c r="H37" i="8" s="1"/>
  <c r="G15" i="8"/>
  <c r="G38" i="8" s="1"/>
  <c r="F15" i="8"/>
  <c r="F39" i="8" s="1"/>
  <c r="E15" i="8"/>
  <c r="E37" i="8" s="1"/>
  <c r="D15" i="8"/>
  <c r="D37" i="8" s="1"/>
  <c r="C15" i="8"/>
  <c r="C38" i="8" s="1"/>
  <c r="P14" i="8"/>
  <c r="O14" i="8"/>
  <c r="P13" i="8"/>
  <c r="O13" i="8"/>
  <c r="P12" i="8"/>
  <c r="O12" i="8"/>
  <c r="P11" i="8"/>
  <c r="O11" i="8"/>
  <c r="N10" i="8"/>
  <c r="N31" i="8" s="1"/>
  <c r="M10" i="8"/>
  <c r="M32" i="8" s="1"/>
  <c r="L10" i="8"/>
  <c r="L33" i="8" s="1"/>
  <c r="K10" i="8"/>
  <c r="J10" i="8"/>
  <c r="J31" i="8" s="1"/>
  <c r="I10" i="8"/>
  <c r="I32" i="8" s="1"/>
  <c r="H10" i="8"/>
  <c r="H33" i="8" s="1"/>
  <c r="G10" i="8"/>
  <c r="F10" i="8"/>
  <c r="F31" i="8" s="1"/>
  <c r="E10" i="8"/>
  <c r="E32" i="8" s="1"/>
  <c r="D10" i="8"/>
  <c r="D33" i="8" s="1"/>
  <c r="C10" i="8"/>
  <c r="C31" i="8" s="1"/>
  <c r="P9" i="8"/>
  <c r="O9" i="8"/>
  <c r="P8" i="8"/>
  <c r="P7" i="8"/>
  <c r="P6" i="8"/>
  <c r="F24" i="24"/>
  <c r="E24" i="24"/>
  <c r="D24" i="24"/>
  <c r="C24" i="24"/>
  <c r="F10" i="24"/>
  <c r="G10" i="24"/>
  <c r="E10" i="24"/>
  <c r="D10" i="24"/>
  <c r="A28" i="24"/>
  <c r="A14" i="24"/>
  <c r="T108" i="11" l="1"/>
  <c r="K115" i="11" s="1"/>
  <c r="J72" i="11"/>
  <c r="N122" i="11"/>
  <c r="H129" i="11" s="1"/>
  <c r="D121" i="11"/>
  <c r="X84" i="11"/>
  <c r="T85" i="11"/>
  <c r="H72" i="11"/>
  <c r="Z85" i="11"/>
  <c r="R84" i="11"/>
  <c r="R87" i="11"/>
  <c r="H27" i="8"/>
  <c r="H50" i="8" s="1"/>
  <c r="J84" i="11"/>
  <c r="H102" i="11"/>
  <c r="F124" i="11"/>
  <c r="D131" i="11" s="1"/>
  <c r="D123" i="11"/>
  <c r="C130" i="11" s="1"/>
  <c r="D124" i="11"/>
  <c r="C131" i="11" s="1"/>
  <c r="X122" i="11"/>
  <c r="M129" i="11" s="1"/>
  <c r="P123" i="11"/>
  <c r="I130" i="11" s="1"/>
  <c r="P121" i="11"/>
  <c r="I128" i="11" s="1"/>
  <c r="L124" i="11"/>
  <c r="G131" i="11" s="1"/>
  <c r="H122" i="11"/>
  <c r="E129" i="11" s="1"/>
  <c r="H121" i="11"/>
  <c r="N101" i="11"/>
  <c r="H114" i="11" s="1"/>
  <c r="T87" i="11"/>
  <c r="M93" i="11"/>
  <c r="L85" i="11"/>
  <c r="V79" i="11"/>
  <c r="T78" i="11"/>
  <c r="L78" i="11"/>
  <c r="X72" i="11"/>
  <c r="Q92" i="11" s="1"/>
  <c r="V73" i="11"/>
  <c r="J73" i="11"/>
  <c r="V101" i="11"/>
  <c r="V87" i="11"/>
  <c r="T101" i="11"/>
  <c r="T104" i="11" s="1"/>
  <c r="T84" i="11"/>
  <c r="T88" i="11" s="1"/>
  <c r="T79" i="11"/>
  <c r="O93" i="11" s="1"/>
  <c r="T80" i="11"/>
  <c r="R86" i="11"/>
  <c r="R88" i="11" s="1"/>
  <c r="M95" i="11"/>
  <c r="N85" i="11"/>
  <c r="N86" i="11"/>
  <c r="N79" i="11"/>
  <c r="N74" i="11"/>
  <c r="N73" i="11"/>
  <c r="N75" i="11"/>
  <c r="N72" i="11"/>
  <c r="L102" i="11"/>
  <c r="L121" i="11"/>
  <c r="G128" i="11" s="1"/>
  <c r="L123" i="11"/>
  <c r="G130" i="11" s="1"/>
  <c r="L87" i="11"/>
  <c r="K95" i="11" s="1"/>
  <c r="L84" i="11"/>
  <c r="L79" i="11"/>
  <c r="J78" i="11"/>
  <c r="J92" i="11" s="1"/>
  <c r="J80" i="11"/>
  <c r="D27" i="8"/>
  <c r="D50" i="8" s="1"/>
  <c r="F86" i="11"/>
  <c r="F88" i="11" s="1"/>
  <c r="D84" i="11"/>
  <c r="D86" i="11"/>
  <c r="D100" i="11"/>
  <c r="D102" i="11"/>
  <c r="C115" i="11" s="1"/>
  <c r="D101" i="11"/>
  <c r="F125" i="11"/>
  <c r="T122" i="11"/>
  <c r="K129" i="11" s="1"/>
  <c r="T123" i="11"/>
  <c r="K130" i="11" s="1"/>
  <c r="T121" i="11"/>
  <c r="K128" i="11" s="1"/>
  <c r="P124" i="11"/>
  <c r="I131" i="11" s="1"/>
  <c r="H123" i="11"/>
  <c r="E130" i="11" s="1"/>
  <c r="V109" i="11"/>
  <c r="X100" i="11"/>
  <c r="X101" i="11"/>
  <c r="M114" i="11" s="1"/>
  <c r="X102" i="11"/>
  <c r="X103" i="11"/>
  <c r="M116" i="11" s="1"/>
  <c r="P103" i="11"/>
  <c r="H101" i="11"/>
  <c r="E114" i="11" s="1"/>
  <c r="F103" i="11"/>
  <c r="X88" i="11"/>
  <c r="J85" i="11"/>
  <c r="J86" i="11"/>
  <c r="H86" i="11"/>
  <c r="Z79" i="11"/>
  <c r="Z78" i="11"/>
  <c r="Z80" i="11"/>
  <c r="R94" i="11" s="1"/>
  <c r="V81" i="11"/>
  <c r="O95" i="11"/>
  <c r="R79" i="11"/>
  <c r="N93" i="11" s="1"/>
  <c r="R81" i="11"/>
  <c r="P82" i="11"/>
  <c r="L80" i="11"/>
  <c r="L82" i="11" s="1"/>
  <c r="J79" i="11"/>
  <c r="H81" i="11"/>
  <c r="H78" i="11"/>
  <c r="H80" i="11"/>
  <c r="F82" i="11"/>
  <c r="Z73" i="11"/>
  <c r="Z75" i="11"/>
  <c r="R95" i="11" s="1"/>
  <c r="R74" i="11"/>
  <c r="L76" i="11"/>
  <c r="L73" i="11"/>
  <c r="J75" i="11"/>
  <c r="J95" i="11" s="1"/>
  <c r="H76" i="11"/>
  <c r="H74" i="11"/>
  <c r="H75" i="11"/>
  <c r="F74" i="11"/>
  <c r="F72" i="11"/>
  <c r="H92" i="11" s="1"/>
  <c r="F75" i="11"/>
  <c r="H95" i="11" s="1"/>
  <c r="F73" i="11"/>
  <c r="H93" i="11" s="1"/>
  <c r="D73" i="11"/>
  <c r="G93" i="11" s="1"/>
  <c r="D76" i="11"/>
  <c r="D42" i="8"/>
  <c r="C39" i="8"/>
  <c r="E33" i="8"/>
  <c r="Z86" i="11"/>
  <c r="Z72" i="11"/>
  <c r="X123" i="11"/>
  <c r="M130" i="11" s="1"/>
  <c r="X121" i="11"/>
  <c r="AA110" i="11"/>
  <c r="X81" i="11"/>
  <c r="X75" i="11"/>
  <c r="I93" i="11"/>
  <c r="F36" i="8"/>
  <c r="E116" i="11"/>
  <c r="M33" i="8"/>
  <c r="N36" i="8"/>
  <c r="G39" i="8"/>
  <c r="H42" i="8"/>
  <c r="R72" i="11"/>
  <c r="X73" i="11"/>
  <c r="D74" i="11"/>
  <c r="L74" i="11"/>
  <c r="R75" i="11"/>
  <c r="X79" i="11"/>
  <c r="D80" i="11"/>
  <c r="H84" i="11"/>
  <c r="P88" i="11"/>
  <c r="Z84" i="11"/>
  <c r="V85" i="11"/>
  <c r="H87" i="11"/>
  <c r="H100" i="11"/>
  <c r="J102" i="11"/>
  <c r="F115" i="11" s="1"/>
  <c r="D106" i="11"/>
  <c r="Z108" i="11"/>
  <c r="N115" i="11" s="1"/>
  <c r="J109" i="11"/>
  <c r="Z109" i="11"/>
  <c r="F32" i="8"/>
  <c r="D34" i="8"/>
  <c r="D38" i="8"/>
  <c r="E41" i="8"/>
  <c r="F44" i="8"/>
  <c r="D72" i="11"/>
  <c r="L72" i="11"/>
  <c r="D78" i="11"/>
  <c r="N80" i="11"/>
  <c r="L94" i="11" s="1"/>
  <c r="X80" i="11"/>
  <c r="Q94" i="11" s="1"/>
  <c r="D81" i="11"/>
  <c r="G95" i="11" s="1"/>
  <c r="Z100" i="11"/>
  <c r="H116" i="11"/>
  <c r="L116" i="11"/>
  <c r="J106" i="11"/>
  <c r="Z106" i="11"/>
  <c r="J107" i="11"/>
  <c r="V122" i="11"/>
  <c r="L129" i="11" s="1"/>
  <c r="C10" i="24"/>
  <c r="N32" i="8"/>
  <c r="H34" i="8"/>
  <c r="H38" i="8"/>
  <c r="M41" i="8"/>
  <c r="N44" i="8"/>
  <c r="N78" i="11"/>
  <c r="R100" i="11"/>
  <c r="N110" i="11"/>
  <c r="C128" i="11"/>
  <c r="V110" i="11"/>
  <c r="L114" i="11"/>
  <c r="AA88" i="11"/>
  <c r="AB88" i="11"/>
  <c r="V84" i="11"/>
  <c r="AB82" i="11"/>
  <c r="V78" i="11"/>
  <c r="V72" i="11"/>
  <c r="V74" i="11"/>
  <c r="P94" i="11" s="1"/>
  <c r="AB76" i="11"/>
  <c r="AA76" i="11"/>
  <c r="L42" i="8"/>
  <c r="L38" i="8"/>
  <c r="L27" i="8"/>
  <c r="L50" i="8" s="1"/>
  <c r="L34" i="8"/>
  <c r="O94" i="11"/>
  <c r="K39" i="8"/>
  <c r="R107" i="11"/>
  <c r="R76" i="11"/>
  <c r="J44" i="8"/>
  <c r="J36" i="8"/>
  <c r="J32" i="8"/>
  <c r="P109" i="11"/>
  <c r="AB110" i="11"/>
  <c r="P100" i="11"/>
  <c r="P104" i="11" s="1"/>
  <c r="I114" i="11"/>
  <c r="M92" i="11"/>
  <c r="M94" i="11"/>
  <c r="AA82" i="11"/>
  <c r="P21" i="15"/>
  <c r="P15" i="15"/>
  <c r="P9" i="15"/>
  <c r="O20" i="8"/>
  <c r="P20" i="8"/>
  <c r="I41" i="8"/>
  <c r="O26" i="8"/>
  <c r="P25" i="8"/>
  <c r="P15" i="8"/>
  <c r="P10" i="8"/>
  <c r="O10" i="8"/>
  <c r="I33" i="8"/>
  <c r="H24" i="24"/>
  <c r="M24" i="24" s="1"/>
  <c r="F113" i="11"/>
  <c r="L109" i="11"/>
  <c r="G116" i="11" s="1"/>
  <c r="L107" i="11"/>
  <c r="G114" i="11" s="1"/>
  <c r="R124" i="11"/>
  <c r="J131" i="11" s="1"/>
  <c r="R122" i="11"/>
  <c r="J129" i="11" s="1"/>
  <c r="AA104" i="11"/>
  <c r="F109" i="11"/>
  <c r="F107" i="11"/>
  <c r="D114" i="11" s="1"/>
  <c r="AB104" i="11"/>
  <c r="F102" i="11"/>
  <c r="F100" i="11"/>
  <c r="V102" i="11"/>
  <c r="L115" i="11" s="1"/>
  <c r="V100" i="11"/>
  <c r="L106" i="11"/>
  <c r="G113" i="11" s="1"/>
  <c r="L108" i="11"/>
  <c r="G115" i="11" s="1"/>
  <c r="H108" i="11"/>
  <c r="E115" i="11" s="1"/>
  <c r="H106" i="11"/>
  <c r="X108" i="11"/>
  <c r="X106" i="11"/>
  <c r="R123" i="11"/>
  <c r="J130" i="11" s="1"/>
  <c r="N123" i="11"/>
  <c r="H130" i="11" s="1"/>
  <c r="N121" i="11"/>
  <c r="L95" i="11"/>
  <c r="R108" i="11"/>
  <c r="R106" i="11"/>
  <c r="R103" i="11"/>
  <c r="J116" i="11" s="1"/>
  <c r="R101" i="11"/>
  <c r="D109" i="11"/>
  <c r="C116" i="11" s="1"/>
  <c r="D107" i="11"/>
  <c r="T109" i="11"/>
  <c r="T107" i="11"/>
  <c r="AB125" i="11"/>
  <c r="J124" i="11"/>
  <c r="F131" i="11" s="1"/>
  <c r="J122" i="11"/>
  <c r="F129" i="11" s="1"/>
  <c r="Z124" i="11"/>
  <c r="N131" i="11" s="1"/>
  <c r="Z122" i="11"/>
  <c r="N129" i="11" s="1"/>
  <c r="J103" i="11"/>
  <c r="F116" i="11" s="1"/>
  <c r="J101" i="11"/>
  <c r="Z103" i="11"/>
  <c r="N116" i="11" s="1"/>
  <c r="Z101" i="11"/>
  <c r="N114" i="11" s="1"/>
  <c r="L104" i="11"/>
  <c r="R102" i="11"/>
  <c r="K116" i="11"/>
  <c r="N102" i="11"/>
  <c r="H115" i="11" s="1"/>
  <c r="N100" i="11"/>
  <c r="F106" i="11"/>
  <c r="F108" i="11"/>
  <c r="P108" i="11"/>
  <c r="I115" i="11" s="1"/>
  <c r="P106" i="11"/>
  <c r="E128" i="11"/>
  <c r="R121" i="11"/>
  <c r="AA125" i="11"/>
  <c r="F123" i="11"/>
  <c r="D130" i="11" s="1"/>
  <c r="F121" i="11"/>
  <c r="D128" i="11" s="1"/>
  <c r="V123" i="11"/>
  <c r="L130" i="11" s="1"/>
  <c r="V121" i="11"/>
  <c r="K113" i="11"/>
  <c r="O9" i="15"/>
  <c r="O15" i="15"/>
  <c r="O21" i="15"/>
  <c r="M36" i="8"/>
  <c r="M39" i="8"/>
  <c r="M37" i="8"/>
  <c r="M38" i="8"/>
  <c r="C34" i="8"/>
  <c r="C33" i="8"/>
  <c r="C32" i="8"/>
  <c r="G34" i="8"/>
  <c r="G33" i="8"/>
  <c r="G32" i="8"/>
  <c r="K34" i="8"/>
  <c r="K33" i="8"/>
  <c r="K32" i="8"/>
  <c r="I44" i="8"/>
  <c r="H52" i="8"/>
  <c r="E27" i="8"/>
  <c r="E53" i="8" s="1"/>
  <c r="G31" i="8"/>
  <c r="I36" i="8"/>
  <c r="I39" i="8"/>
  <c r="I38" i="8"/>
  <c r="I37" i="8"/>
  <c r="O15" i="8"/>
  <c r="C42" i="8"/>
  <c r="C43" i="8"/>
  <c r="C41" i="8"/>
  <c r="C44" i="8"/>
  <c r="G42" i="8"/>
  <c r="G43" i="8"/>
  <c r="G41" i="8"/>
  <c r="G44" i="8"/>
  <c r="K42" i="8"/>
  <c r="K43" i="8"/>
  <c r="K41" i="8"/>
  <c r="K44" i="8"/>
  <c r="I27" i="8"/>
  <c r="I53" i="8" s="1"/>
  <c r="K31" i="8"/>
  <c r="E36" i="8"/>
  <c r="E39" i="8"/>
  <c r="E38" i="8"/>
  <c r="P26" i="8"/>
  <c r="P24" i="8"/>
  <c r="O24" i="8"/>
  <c r="M27" i="8"/>
  <c r="M53" i="8" s="1"/>
  <c r="F27" i="8"/>
  <c r="F52" i="8" s="1"/>
  <c r="J27" i="8"/>
  <c r="J52" i="8" s="1"/>
  <c r="N27" i="8"/>
  <c r="N52" i="8" s="1"/>
  <c r="D31" i="8"/>
  <c r="H31" i="8"/>
  <c r="L31" i="8"/>
  <c r="F33" i="8"/>
  <c r="J33" i="8"/>
  <c r="N33" i="8"/>
  <c r="E34" i="8"/>
  <c r="I34" i="8"/>
  <c r="M34" i="8"/>
  <c r="C36" i="8"/>
  <c r="G36" i="8"/>
  <c r="K36" i="8"/>
  <c r="F37" i="8"/>
  <c r="J37" i="8"/>
  <c r="N37" i="8"/>
  <c r="D39" i="8"/>
  <c r="H39" i="8"/>
  <c r="L39" i="8"/>
  <c r="F41" i="8"/>
  <c r="J41" i="8"/>
  <c r="N41" i="8"/>
  <c r="E42" i="8"/>
  <c r="I42" i="8"/>
  <c r="M42" i="8"/>
  <c r="D43" i="8"/>
  <c r="H43" i="8"/>
  <c r="L43" i="8"/>
  <c r="O23" i="8"/>
  <c r="O25" i="8"/>
  <c r="C27" i="8"/>
  <c r="C51" i="8" s="1"/>
  <c r="G27" i="8"/>
  <c r="G52" i="8" s="1"/>
  <c r="K27" i="8"/>
  <c r="K52" i="8" s="1"/>
  <c r="E31" i="8"/>
  <c r="I31" i="8"/>
  <c r="M31" i="8"/>
  <c r="D32" i="8"/>
  <c r="H32" i="8"/>
  <c r="L32" i="8"/>
  <c r="F34" i="8"/>
  <c r="J34" i="8"/>
  <c r="N34" i="8"/>
  <c r="D36" i="8"/>
  <c r="H36" i="8"/>
  <c r="L36" i="8"/>
  <c r="C37" i="8"/>
  <c r="G37" i="8"/>
  <c r="K37" i="8"/>
  <c r="F38" i="8"/>
  <c r="J38" i="8"/>
  <c r="N38" i="8"/>
  <c r="F42" i="8"/>
  <c r="J42" i="8"/>
  <c r="N42" i="8"/>
  <c r="E43" i="8"/>
  <c r="M43" i="8"/>
  <c r="D44" i="8"/>
  <c r="H44" i="8"/>
  <c r="L44" i="8"/>
  <c r="P23" i="8"/>
  <c r="P93" i="11" l="1"/>
  <c r="P125" i="11"/>
  <c r="K114" i="11"/>
  <c r="D125" i="11"/>
  <c r="Z82" i="11"/>
  <c r="J94" i="11"/>
  <c r="C113" i="11"/>
  <c r="Z88" i="11"/>
  <c r="N92" i="11"/>
  <c r="N88" i="11"/>
  <c r="D88" i="11"/>
  <c r="Q95" i="11"/>
  <c r="T82" i="11"/>
  <c r="K92" i="11"/>
  <c r="O92" i="11"/>
  <c r="N94" i="11"/>
  <c r="N95" i="11"/>
  <c r="H51" i="8"/>
  <c r="H53" i="8"/>
  <c r="L125" i="11"/>
  <c r="L88" i="11"/>
  <c r="K93" i="11"/>
  <c r="J82" i="11"/>
  <c r="H125" i="11"/>
  <c r="F114" i="11"/>
  <c r="M113" i="11"/>
  <c r="P95" i="11"/>
  <c r="L93" i="11"/>
  <c r="J88" i="11"/>
  <c r="H94" i="11"/>
  <c r="R82" i="11"/>
  <c r="I92" i="11"/>
  <c r="Z125" i="11"/>
  <c r="R93" i="11"/>
  <c r="X125" i="11"/>
  <c r="V82" i="11"/>
  <c r="T125" i="11"/>
  <c r="J114" i="11"/>
  <c r="I116" i="11"/>
  <c r="L92" i="11"/>
  <c r="J110" i="11"/>
  <c r="Z76" i="11"/>
  <c r="H104" i="11"/>
  <c r="I95" i="11"/>
  <c r="D53" i="8"/>
  <c r="D51" i="8"/>
  <c r="D52" i="8"/>
  <c r="F110" i="11"/>
  <c r="D116" i="11"/>
  <c r="D110" i="11"/>
  <c r="G92" i="11"/>
  <c r="D104" i="11"/>
  <c r="M128" i="11"/>
  <c r="J93" i="11"/>
  <c r="K94" i="11"/>
  <c r="H82" i="11"/>
  <c r="I94" i="11"/>
  <c r="E45" i="8"/>
  <c r="E35" i="8"/>
  <c r="F35" i="8"/>
  <c r="C53" i="8"/>
  <c r="C52" i="8"/>
  <c r="B14" i="24"/>
  <c r="D14" i="24" s="1"/>
  <c r="R92" i="11"/>
  <c r="Z110" i="11"/>
  <c r="Z104" i="11"/>
  <c r="X110" i="11"/>
  <c r="M115" i="11"/>
  <c r="X104" i="11"/>
  <c r="X82" i="11"/>
  <c r="M45" i="8"/>
  <c r="H45" i="8"/>
  <c r="D45" i="8"/>
  <c r="F40" i="8"/>
  <c r="N50" i="8"/>
  <c r="G35" i="8"/>
  <c r="H110" i="11"/>
  <c r="D115" i="11"/>
  <c r="N82" i="11"/>
  <c r="N53" i="8"/>
  <c r="G94" i="11"/>
  <c r="G50" i="8"/>
  <c r="D40" i="8"/>
  <c r="N40" i="8"/>
  <c r="E52" i="8"/>
  <c r="G45" i="8"/>
  <c r="M51" i="8"/>
  <c r="P110" i="11"/>
  <c r="V88" i="11"/>
  <c r="D82" i="11"/>
  <c r="Q93" i="11"/>
  <c r="X76" i="11"/>
  <c r="N35" i="8"/>
  <c r="G51" i="8"/>
  <c r="N51" i="8"/>
  <c r="J125" i="11"/>
  <c r="N113" i="11"/>
  <c r="H88" i="11"/>
  <c r="P92" i="11"/>
  <c r="V76" i="11"/>
  <c r="L52" i="8"/>
  <c r="L51" i="8"/>
  <c r="L45" i="8"/>
  <c r="O39" i="8"/>
  <c r="L53" i="8"/>
  <c r="T110" i="11"/>
  <c r="K45" i="8"/>
  <c r="O37" i="8"/>
  <c r="K35" i="8"/>
  <c r="K53" i="8"/>
  <c r="K50" i="8"/>
  <c r="K51" i="8"/>
  <c r="R104" i="11"/>
  <c r="J115" i="11"/>
  <c r="R110" i="11"/>
  <c r="O38" i="8"/>
  <c r="J40" i="8"/>
  <c r="J53" i="8"/>
  <c r="J35" i="8"/>
  <c r="J50" i="8"/>
  <c r="I45" i="8"/>
  <c r="I35" i="8"/>
  <c r="P27" i="8"/>
  <c r="I50" i="8"/>
  <c r="B28" i="24"/>
  <c r="D28" i="24" s="1"/>
  <c r="L128" i="11"/>
  <c r="V125" i="11"/>
  <c r="J104" i="11"/>
  <c r="H113" i="11"/>
  <c r="N104" i="11"/>
  <c r="C114" i="11"/>
  <c r="J113" i="11"/>
  <c r="L113" i="11"/>
  <c r="V104" i="11"/>
  <c r="J128" i="11"/>
  <c r="R125" i="11"/>
  <c r="E113" i="11"/>
  <c r="H128" i="11"/>
  <c r="N125" i="11"/>
  <c r="L110" i="11"/>
  <c r="D113" i="11"/>
  <c r="F104" i="11"/>
  <c r="I113" i="11"/>
  <c r="O27" i="8"/>
  <c r="E40" i="8"/>
  <c r="I51" i="8"/>
  <c r="O32" i="8"/>
  <c r="H40" i="8"/>
  <c r="M35" i="8"/>
  <c r="J45" i="8"/>
  <c r="K40" i="8"/>
  <c r="F53" i="8"/>
  <c r="C50" i="8"/>
  <c r="M52" i="8"/>
  <c r="J51" i="8"/>
  <c r="F50" i="8"/>
  <c r="O42" i="8"/>
  <c r="G53" i="8"/>
  <c r="E51" i="8"/>
  <c r="E50" i="8"/>
  <c r="O33" i="8"/>
  <c r="C40" i="8"/>
  <c r="O36" i="8"/>
  <c r="H35" i="8"/>
  <c r="C45" i="8"/>
  <c r="O41" i="8"/>
  <c r="L40" i="8"/>
  <c r="N45" i="8"/>
  <c r="D35" i="8"/>
  <c r="O43" i="8"/>
  <c r="M40" i="8"/>
  <c r="F45" i="8"/>
  <c r="G40" i="8"/>
  <c r="L35" i="8"/>
  <c r="I52" i="8"/>
  <c r="F51" i="8"/>
  <c r="O44" i="8"/>
  <c r="I40" i="8"/>
  <c r="C35" i="8"/>
  <c r="M50" i="8"/>
  <c r="O34" i="8"/>
  <c r="O31" i="8"/>
  <c r="A14" i="25"/>
  <c r="H54" i="8" l="1"/>
  <c r="D54" i="8"/>
  <c r="E54" i="8"/>
  <c r="G54" i="8"/>
  <c r="N54" i="8"/>
  <c r="M54" i="8"/>
  <c r="O52" i="8"/>
  <c r="F54" i="8"/>
  <c r="L54" i="8"/>
  <c r="O40" i="8"/>
  <c r="K54" i="8"/>
  <c r="O53" i="8"/>
  <c r="J54" i="8"/>
  <c r="O35" i="8"/>
  <c r="O45" i="8"/>
  <c r="O51" i="8"/>
  <c r="I54" i="8"/>
  <c r="C54" i="8"/>
  <c r="O50" i="8"/>
  <c r="E75" i="14"/>
  <c r="F75" i="14"/>
  <c r="G75" i="14"/>
  <c r="H75" i="14"/>
  <c r="I75" i="14"/>
  <c r="J75" i="14"/>
  <c r="K75" i="14"/>
  <c r="L75" i="14"/>
  <c r="M75" i="14"/>
  <c r="O54" i="8" l="1"/>
  <c r="M80" i="14"/>
  <c r="L80" i="14"/>
  <c r="K80" i="14"/>
  <c r="J80" i="14"/>
  <c r="I80" i="14"/>
  <c r="H80" i="14"/>
  <c r="G80" i="14"/>
  <c r="F80" i="14"/>
  <c r="E80" i="14"/>
  <c r="D80" i="14"/>
  <c r="C80" i="14"/>
  <c r="B80" i="14"/>
  <c r="D75" i="14"/>
  <c r="C75" i="14"/>
  <c r="B75" i="14"/>
  <c r="P10" i="4" l="1"/>
  <c r="P6" i="4"/>
  <c r="K1" i="25" l="1"/>
  <c r="E10" i="25"/>
  <c r="D10" i="25"/>
  <c r="C10" i="25"/>
  <c r="G10" i="25"/>
  <c r="F10" i="25"/>
  <c r="P13" i="4"/>
  <c r="O13" i="4"/>
  <c r="P12" i="4"/>
  <c r="O12" i="4"/>
  <c r="P11" i="4"/>
  <c r="O11" i="4"/>
  <c r="O7" i="4"/>
  <c r="P7" i="4"/>
  <c r="O79" i="14"/>
  <c r="O78" i="14"/>
  <c r="O74" i="14"/>
  <c r="O73" i="14"/>
  <c r="O69" i="14"/>
  <c r="O68" i="14"/>
  <c r="P4" i="4"/>
  <c r="P5" i="4"/>
  <c r="P8" i="4"/>
  <c r="P9" i="4"/>
  <c r="P3" i="4"/>
  <c r="O8" i="4"/>
  <c r="O5" i="4"/>
  <c r="N78" i="14"/>
  <c r="N79" i="14"/>
  <c r="N73" i="14"/>
  <c r="N74" i="14"/>
  <c r="N68" i="14"/>
  <c r="N69" i="14"/>
  <c r="O9" i="4"/>
  <c r="O4" i="4"/>
  <c r="O3" i="4"/>
  <c r="N80" i="14" l="1"/>
  <c r="O70" i="14"/>
  <c r="N70" i="14"/>
  <c r="O75" i="14"/>
  <c r="O80" i="14"/>
  <c r="N75" i="14"/>
  <c r="B14" i="25"/>
  <c r="D14" i="25" s="1"/>
  <c r="B28" i="25"/>
  <c r="D28" i="25" s="1"/>
  <c r="N9" i="13"/>
  <c r="N25" i="13" s="1"/>
  <c r="P5" i="13"/>
  <c r="P9" i="13" s="1"/>
  <c r="O5" i="13"/>
  <c r="O9" i="13" s="1"/>
  <c r="N26" i="13" l="1"/>
  <c r="O26" i="13" s="1"/>
  <c r="N27" i="13"/>
  <c r="O27" i="13" s="1"/>
  <c r="N28" i="13"/>
  <c r="O28" i="13" s="1"/>
  <c r="O25" i="13"/>
  <c r="N29" i="13" l="1"/>
  <c r="O29" i="13"/>
  <c r="J155" i="13"/>
</calcChain>
</file>

<file path=xl/sharedStrings.xml><?xml version="1.0" encoding="utf-8"?>
<sst xmlns="http://schemas.openxmlformats.org/spreadsheetml/2006/main" count="1852" uniqueCount="270">
  <si>
    <t>RELATÓRIO DE ATIVIDADES</t>
  </si>
  <si>
    <t>SUEMTS</t>
  </si>
  <si>
    <t>Março</t>
  </si>
  <si>
    <t>UNIDADE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</si>
  <si>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</si>
  <si>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</si>
  <si>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</si>
  <si>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</si>
  <si>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</si>
  <si>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</si>
  <si>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</si>
  <si>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</si>
  <si>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</si>
  <si>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</si>
  <si>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</si>
  <si>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</si>
  <si>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</si>
  <si>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Média</t>
  </si>
  <si>
    <t>UMTS</t>
  </si>
  <si>
    <t>UPA</t>
  </si>
  <si>
    <t>PSI</t>
  </si>
  <si>
    <t>EXAMES</t>
  </si>
  <si>
    <t>Eletrocardiograma</t>
  </si>
  <si>
    <t>Raio X</t>
  </si>
  <si>
    <t>Laboratoriais/Coletados</t>
  </si>
  <si>
    <t>Transferência para HGP</t>
  </si>
  <si>
    <t>Total Enfermaria</t>
  </si>
  <si>
    <t>Total Clinica Médica</t>
  </si>
  <si>
    <t>Total Pediatria</t>
  </si>
  <si>
    <t>Natimorto</t>
  </si>
  <si>
    <t>Janeiro</t>
  </si>
  <si>
    <t>Fevereiro</t>
  </si>
  <si>
    <t>Abril</t>
  </si>
  <si>
    <t>Maio</t>
  </si>
  <si>
    <t>%</t>
  </si>
  <si>
    <t>Clinica Médica</t>
  </si>
  <si>
    <t>Ortopedia</t>
  </si>
  <si>
    <t>TOTAL</t>
  </si>
  <si>
    <t>Maternidade</t>
  </si>
  <si>
    <t>Neonatologia</t>
  </si>
  <si>
    <t>Pediatria</t>
  </si>
  <si>
    <t>TABOÃO DA SERRA</t>
  </si>
  <si>
    <t>SÃO PAULO</t>
  </si>
  <si>
    <t>OUTROS</t>
  </si>
  <si>
    <t>Percentual %</t>
  </si>
  <si>
    <t>*UPA não tem internação</t>
  </si>
  <si>
    <t>Kg Roupas Lavadas</t>
  </si>
  <si>
    <t>Dias</t>
  </si>
  <si>
    <t>Média Kg Roupa / Dia</t>
  </si>
  <si>
    <t>VERMELHO</t>
  </si>
  <si>
    <t>AMARELO</t>
  </si>
  <si>
    <t>VERDE</t>
  </si>
  <si>
    <t>AZUL</t>
  </si>
  <si>
    <t>Especialidade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</si>
  <si>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</si>
  <si>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</si>
  <si>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</si>
  <si>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</si>
  <si>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</si>
  <si>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</si>
  <si>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</si>
  <si>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</si>
  <si>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</si>
  <si>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</si>
  <si>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</si>
  <si>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</si>
  <si>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</si>
  <si>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EMBU</t>
  </si>
  <si>
    <t>Clínica Médica</t>
  </si>
  <si>
    <t xml:space="preserve"> 1º SEMESTRE </t>
  </si>
  <si>
    <t>EMBU DAS ARTES</t>
  </si>
  <si>
    <t>Unidade</t>
  </si>
  <si>
    <t>Exame</t>
  </si>
  <si>
    <t>Taboão da Serra</t>
  </si>
  <si>
    <t>Embu das Artes</t>
  </si>
  <si>
    <t>São Paulo</t>
  </si>
  <si>
    <t>Outros</t>
  </si>
  <si>
    <t>Classificação de Risco</t>
  </si>
  <si>
    <t>Parto Normal</t>
  </si>
  <si>
    <t>Parto Cesárea</t>
  </si>
  <si>
    <t>Total de Partos</t>
  </si>
  <si>
    <t>Laqueadura</t>
  </si>
  <si>
    <t>Curetagem</t>
  </si>
  <si>
    <t>Total de Procedimentos</t>
  </si>
  <si>
    <t xml:space="preserve">ÍNDICE </t>
  </si>
  <si>
    <t xml:space="preserve">Capa </t>
  </si>
  <si>
    <t xml:space="preserve">2 - Internações Municípios </t>
  </si>
  <si>
    <t>Clínica Médica (UMTS)</t>
  </si>
  <si>
    <t>Ortopedia (UMTS)</t>
  </si>
  <si>
    <t>Ginecologia (UMTS)</t>
  </si>
  <si>
    <t>Clínica Médica (UPA)</t>
  </si>
  <si>
    <t>Pediatria (UPA)</t>
  </si>
  <si>
    <t>UMTS E UPA</t>
  </si>
  <si>
    <t>UPA E PSI</t>
  </si>
  <si>
    <t xml:space="preserve">G. O. </t>
  </si>
  <si>
    <t>JULHO</t>
  </si>
  <si>
    <t>ESPECIALIDADE</t>
  </si>
  <si>
    <t>UNIDADES</t>
  </si>
  <si>
    <t xml:space="preserve">UMTS </t>
  </si>
  <si>
    <t>ATENDIMENTO PORTA POR MUNICÍPIO</t>
  </si>
  <si>
    <t>ATENDIMENTO/PORTA</t>
  </si>
  <si>
    <t>ATENDIMENTO/INTERNAÇÃO</t>
  </si>
  <si>
    <t>AGOSTO</t>
  </si>
  <si>
    <t>SETEMBRO</t>
  </si>
  <si>
    <t>OUTUBRO</t>
  </si>
  <si>
    <t>NOVEMBRO</t>
  </si>
  <si>
    <t>DEZEMBRO</t>
  </si>
  <si>
    <t xml:space="preserve"> 2º SEMESTRE </t>
  </si>
  <si>
    <t>TOTAL GERAL DO 1º SEMESTRE (ATENDIMENTO/PORTA)</t>
  </si>
  <si>
    <t>TOTAL GERAL DO 1º SEMESTRE (ATENDIMENTO/INTERNAÇÃO)</t>
  </si>
  <si>
    <t>TOTAL GERAL DO 2º SEMESTRE (ATENDIMENTO/PORTA)</t>
  </si>
  <si>
    <t>TOTAL GERAL DO 2º SEMESTRE (ATENDIMENTO/INTERNAÇÃO)</t>
  </si>
  <si>
    <t>TOTAL GERAL UMTS (CM + ORTOPEDIA + G.O.)</t>
  </si>
  <si>
    <t>Número de Refeições UMTS</t>
  </si>
  <si>
    <t>Número de Refeições UPA</t>
  </si>
  <si>
    <t>Número de Refeições PSI</t>
  </si>
  <si>
    <t>Dieta Enteral UMTS</t>
  </si>
  <si>
    <t>Mamadeira UMTS</t>
  </si>
  <si>
    <t>Dieta Enteral UPA</t>
  </si>
  <si>
    <t>Mamadeira UPA</t>
  </si>
  <si>
    <t>Dieta Enteral PSI</t>
  </si>
  <si>
    <t>Mamadeira PSI</t>
  </si>
  <si>
    <t xml:space="preserve">6 - Exames </t>
  </si>
  <si>
    <t>MATERNIDADE NUMERO TOTAL DE PARTOS</t>
  </si>
  <si>
    <t>MATERNIDADE NÚMERO TOTAL DE PARTOS EM PRIMIGESTAS</t>
  </si>
  <si>
    <t>ENFERMARIA</t>
  </si>
  <si>
    <t>CLINICA MÉDICA</t>
  </si>
  <si>
    <t>PEDIATRIA</t>
  </si>
  <si>
    <t>Parto Fórceps</t>
  </si>
  <si>
    <t xml:space="preserve">JAN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</si>
  <si>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</si>
  <si>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</si>
  <si>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</si>
  <si>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</si>
  <si>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</si>
  <si>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</si>
  <si>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</si>
  <si>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</si>
  <si>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</si>
  <si>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</si>
  <si>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</si>
  <si>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Procedimentos</t>
  </si>
  <si>
    <t>Parto Forceps</t>
  </si>
  <si>
    <t>Procedimentos em primigestas</t>
  </si>
  <si>
    <t>Total de Partos primigestas</t>
  </si>
  <si>
    <t>SEMI-INTENSIVA</t>
  </si>
  <si>
    <t>MATERNIDADE - NÚMERO TOTAL DE PARTOS EM PRIMIGESTAS</t>
  </si>
  <si>
    <t>4 - Atendimento por município</t>
  </si>
  <si>
    <t>JAN</t>
  </si>
  <si>
    <t>CONTRATADO (1ºSemeste)</t>
  </si>
  <si>
    <t>CONTRATADO (1º semestre)</t>
  </si>
  <si>
    <t>REALIZADO (1º semestre)</t>
  </si>
  <si>
    <t>REALIZADO (1ºsemestre)</t>
  </si>
  <si>
    <t>CONTRATADO (2ºSemeste)</t>
  </si>
  <si>
    <t>REALIZADO (2ºsemestre)</t>
  </si>
  <si>
    <t>Berçário/Neonatologia</t>
  </si>
  <si>
    <t>umts</t>
  </si>
  <si>
    <t>upa</t>
  </si>
  <si>
    <t>psi</t>
  </si>
  <si>
    <t>Óbitos  &lt; 24 horas</t>
  </si>
  <si>
    <t>Óbitos &gt;24 horas</t>
  </si>
  <si>
    <t>Transferência para Outros hospitais</t>
  </si>
  <si>
    <t xml:space="preserve">Alta </t>
  </si>
  <si>
    <t>Óbitos &lt; 24 horas</t>
  </si>
  <si>
    <t>Alta</t>
  </si>
  <si>
    <t>SERVIÇO DE URGÊNCIA E EMERGÊNCIA DO MUNICÍPIO DE TABOÃO DA SERRA</t>
  </si>
  <si>
    <t>ATENDIMENTO PORTA</t>
  </si>
  <si>
    <t>INTERNAÇÃO</t>
  </si>
  <si>
    <t>Total SEMI</t>
  </si>
  <si>
    <t>5  - Total de Saídas</t>
  </si>
  <si>
    <t>UNID</t>
  </si>
  <si>
    <t xml:space="preserve"> </t>
  </si>
  <si>
    <t>PRONTO-SOCORRO</t>
  </si>
  <si>
    <t>Atendimento Urgência/Emergência</t>
  </si>
  <si>
    <t>TOTAL ACUMULADO</t>
  </si>
  <si>
    <t>Contratado</t>
  </si>
  <si>
    <t>Realizado</t>
  </si>
  <si>
    <t>Clínica Obstétrica/Ginecológica</t>
  </si>
  <si>
    <t>INTERNAÇÕES</t>
  </si>
  <si>
    <t>Clinica Obstétrica/Ginecológica</t>
  </si>
  <si>
    <t>CLASSIFICAÇÃO DE RISCO - UPA</t>
  </si>
  <si>
    <t>TOTAL GERAL - UPA (CLINICA+PEDIATRIA)</t>
  </si>
  <si>
    <t>CLASSIFICAÇÃO DE RISCO - PSI</t>
  </si>
  <si>
    <t>TOTAL GERAL ( PSI)</t>
  </si>
  <si>
    <t>CLASSIFICAÇÃO DE RISCO - UMTS</t>
  </si>
  <si>
    <t>Parto Normal/Domiciliar</t>
  </si>
  <si>
    <t xml:space="preserve">Total Geral de Saídas </t>
  </si>
  <si>
    <t>Saídas Hospitalares</t>
  </si>
  <si>
    <t>SAÍDAS HOSPITALARES</t>
  </si>
  <si>
    <t>ATENDIMENTO URGÊNCIA / EMERGÊNCIA</t>
  </si>
  <si>
    <t xml:space="preserve">1 Contratado x Realizado </t>
  </si>
  <si>
    <t>Total Geral de Óbitos &gt;24H</t>
  </si>
  <si>
    <t>Total Geral de Óbitos&lt;24H</t>
  </si>
  <si>
    <t>MATERNIDADE - NÚMERO TOTAL DE PARTOS</t>
  </si>
  <si>
    <t>Qtde de Atendimento</t>
  </si>
  <si>
    <t>Pediatria (PSI)</t>
  </si>
  <si>
    <t>SOMA</t>
  </si>
  <si>
    <t xml:space="preserve">JANEIRO </t>
  </si>
  <si>
    <t>PERC</t>
  </si>
  <si>
    <t>SAÍDAS POR MUNICÍPIOS</t>
  </si>
  <si>
    <t xml:space="preserve">3 - Taxa Obstetrícia </t>
  </si>
  <si>
    <t>7 - UAN</t>
  </si>
  <si>
    <t xml:space="preserve">8 - Lavanderia </t>
  </si>
  <si>
    <t>9 - Atendimento Classificação de Risco</t>
  </si>
  <si>
    <t xml:space="preserve">TOTAL DE SAÍDAS NO MÊS </t>
  </si>
  <si>
    <t>OBS:  Início de Internações UPA - Maio de 2020</t>
  </si>
  <si>
    <t>Internados</t>
  </si>
  <si>
    <t>Porta</t>
  </si>
  <si>
    <t>MÊS ANT</t>
  </si>
  <si>
    <t>MÊS ATU</t>
  </si>
  <si>
    <t>OK</t>
  </si>
  <si>
    <t>REGRA DE 3 (DISTR MUN)</t>
  </si>
  <si>
    <t>UPA*</t>
  </si>
  <si>
    <t>PRONTOS SOCORROS MUNICIPAIS DE TABOÃO DA SERRA</t>
  </si>
  <si>
    <t>SPDM - ASSOCIAÇÃO PAULISTA PARA O DESENVOLVIMENTO DA MEDICINA</t>
  </si>
  <si>
    <t xml:space="preserve">Meta contratada mensal </t>
  </si>
  <si>
    <t>Total do Ano</t>
  </si>
  <si>
    <t>Real.</t>
  </si>
  <si>
    <t>Saída Hospitalar</t>
  </si>
  <si>
    <t>Contratado / Realizado</t>
  </si>
  <si>
    <t>Cont.</t>
  </si>
  <si>
    <t>Internação / Saídas Hospitalares</t>
  </si>
  <si>
    <t>Nota: Os Atendimentos de Urgência / Emergência e Saídas Hospitalares referem-se à produção das unidades: Unidade Mista e Taboão da Serra - UMTS, Pronto Socorro Infantil - PSI e Unidade de Pronto Atendimento - UPA.</t>
  </si>
  <si>
    <t>Fonte:  Prestação de Contas Mensal</t>
  </si>
  <si>
    <t>INDICADORES HOSPITALARES</t>
  </si>
  <si>
    <t>1º TRIMESTE</t>
  </si>
  <si>
    <t>2º TRIMESTE</t>
  </si>
  <si>
    <t>PERFIL</t>
  </si>
  <si>
    <t>Leitos instalados (EAS) - CAPACIDADE INSTALADA</t>
  </si>
  <si>
    <t>Paciente-dia</t>
  </si>
  <si>
    <t>Leito-dia</t>
  </si>
  <si>
    <t>Nº de dias no mês</t>
  </si>
  <si>
    <t>Média de paciente-dia</t>
  </si>
  <si>
    <t>Média de leitos operacionais</t>
  </si>
  <si>
    <t>ATENDIMENTOS</t>
  </si>
  <si>
    <t>Consulta de urgência (PS)</t>
  </si>
  <si>
    <t>Saída Hospitalar - TOTAL</t>
  </si>
  <si>
    <t>Internação (Entrada) - Total</t>
  </si>
  <si>
    <t>Pacientes Transferidos</t>
  </si>
  <si>
    <t>Exames de Imagens (Raio X)</t>
  </si>
  <si>
    <t>Laboratório clínico [Ext]</t>
  </si>
  <si>
    <t>Taxa de ocupação (operacional)</t>
  </si>
  <si>
    <t>Taxa de ocupação hospitalar</t>
  </si>
  <si>
    <t>Índice de Renovação (Giro de leito)</t>
  </si>
  <si>
    <t>Intervalo de Substituição</t>
  </si>
  <si>
    <t>Média de Permanência</t>
  </si>
  <si>
    <t>Nº de óbitos (intra-hospitalar)</t>
  </si>
  <si>
    <t>Taxa de Mortalidade Hospitalar</t>
  </si>
  <si>
    <t>Nº de óbitos após 24h de internação</t>
  </si>
  <si>
    <t>Taxa de Mortalidade Institucional</t>
  </si>
  <si>
    <t>3º TRIMESTE</t>
  </si>
  <si>
    <t>4º TRIMESTE</t>
  </si>
  <si>
    <t/>
  </si>
  <si>
    <t>Total Geral</t>
  </si>
  <si>
    <t>INTERNAÇÃO MÊS</t>
  </si>
  <si>
    <t>SAÍDAS MÊS</t>
  </si>
  <si>
    <t>De acordo com % das internações do mês</t>
  </si>
  <si>
    <t>% INTERNAÇÃO</t>
  </si>
  <si>
    <t>A
L
T
E
R
A
Ç
Ã
O
-
O
U
T
2
0
2
1</t>
  </si>
  <si>
    <t>&lt;
O
U
T
2
0
2
1</t>
  </si>
  <si>
    <t>PSI ANUAL</t>
  </si>
  <si>
    <t>UPA ANUAL</t>
  </si>
  <si>
    <t>UMTS ANUAL</t>
  </si>
  <si>
    <t>1º Trimestre 2022</t>
  </si>
  <si>
    <t>2º Trimestre 2022</t>
  </si>
  <si>
    <t>3º Trimestre 2022</t>
  </si>
  <si>
    <t>4º Trimestre 2022</t>
  </si>
  <si>
    <t>UAN - Unidade de Alimentação e Nutrição - 2022</t>
  </si>
  <si>
    <t>PSI E UPA</t>
  </si>
  <si>
    <t>Atualização de:  dezembro/2022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</si>
</sst>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\ ;\-#,##0.00\ ;\-#\ ;@\ "/>
    <numFmt numFmtId="165" formatCode="_(* #,##0.00_);_(* \(#,##0.00\);_(* \-??_);_(@_)"/>
    <numFmt numFmtId="166" formatCode="#,##0.0"/>
    <numFmt numFmtId="167" formatCode="0.0%"/>
    <numFmt numFmtId="168" formatCode="[$R$-416]&quot; &quot;#,##0.00;[Red]&quot;-&quot;[$R$-416]&quot; &quot;#,##0.00"/>
    <numFmt numFmtId="169" formatCode="_-* #,##0.00_-;\-* #,##0.00_-;_-* \-??_-;_-@_-"/>
    <numFmt numFmtId="170" formatCode="0.0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1"/>
      <charset val="1"/>
    </font>
    <font>
      <b/>
      <sz val="11"/>
      <color rgb="FFFF0000"/>
      <name val="Calibri"/>
      <family val="2"/>
      <scheme val="minor"/>
    </font>
    <font>
      <sz val="10"/>
      <color rgb="FF000000"/>
      <name val="Arial1"/>
      <charset val="1"/>
    </font>
    <font>
      <sz val="2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Tahoma"/>
      <family val="2"/>
    </font>
    <font>
      <b/>
      <sz val="18"/>
      <color theme="1" tint="0.249977111117893"/>
      <name val="Tahoma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 tint="0.249977111117893"/>
      <name val="Tahoma"/>
      <family val="2"/>
    </font>
    <font>
      <b/>
      <sz val="12"/>
      <color theme="1" tint="0.249977111117893"/>
      <name val="Tahoma"/>
      <family val="2"/>
    </font>
    <font>
      <b/>
      <sz val="11"/>
      <color theme="1" tint="0.249977111117893"/>
      <name val="Tahom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7F7F7F"/>
      <name val="Calibri"/>
      <family val="2"/>
      <charset val="1"/>
    </font>
    <font>
      <sz val="11"/>
      <color theme="1"/>
      <name val="Liberation Sans"/>
      <family val="2"/>
    </font>
    <font>
      <i/>
      <sz val="11"/>
      <color rgb="FF7F7F7F"/>
      <name val="Calibri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theme="0" tint="-0.34998626667073579"/>
      <name val="Calibri"/>
      <family val="2"/>
      <scheme val="minor"/>
    </font>
    <font>
      <b/>
      <sz val="22"/>
      <color theme="1"/>
      <name val="Tahoma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Arial1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0"/>
      <name val="Arial"/>
      <family val="2"/>
      <charset val="1"/>
    </font>
    <font>
      <b/>
      <sz val="8"/>
      <color indexed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5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Tahoma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8"/>
      <color rgb="FF696969"/>
      <name val="Verdana"/>
      <family val="2"/>
    </font>
    <font>
      <b/>
      <sz val="10"/>
      <color rgb="FF696969"/>
      <name val="Verdana"/>
      <family val="2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b/>
      <i/>
      <sz val="2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8DB4E2"/>
      </patternFill>
    </fill>
    <fill>
      <patternFill patternType="solid">
        <fgColor theme="8" tint="-0.499984740745262"/>
        <bgColor indexed="39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D9D9D9"/>
      </patternFill>
    </fill>
    <fill>
      <patternFill patternType="solid">
        <fgColor rgb="FFC4D79B"/>
        <bgColor rgb="FFCCCCCC"/>
      </patternFill>
    </fill>
    <fill>
      <patternFill patternType="solid">
        <fgColor rgb="FFCCFFCC"/>
        <bgColor rgb="FFFFCC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rgb="FFA5A5A5"/>
        <bgColor rgb="FFBFBFBF"/>
      </patternFill>
    </fill>
    <fill>
      <patternFill patternType="solid">
        <fgColor theme="0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A5A5A5"/>
        <bgColor rgb="FFA6A6A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</fills>
  <borders count="17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rgb="FF33339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CFCFCF"/>
      </bottom>
      <diagonal/>
    </border>
    <border>
      <left/>
      <right/>
      <top style="medium">
        <color rgb="FFFFFFFF"/>
      </top>
      <bottom style="medium">
        <color rgb="FFCFCFC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16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/>
    <xf numFmtId="0" fontId="6" fillId="0" borderId="0"/>
    <xf numFmtId="164" fontId="4" fillId="0" borderId="0"/>
    <xf numFmtId="0" fontId="8" fillId="0" borderId="0"/>
    <xf numFmtId="9" fontId="8" fillId="0" borderId="0" applyFill="0" applyBorder="0" applyAlignment="0" applyProtection="0"/>
    <xf numFmtId="0" fontId="9" fillId="0" borderId="0"/>
    <xf numFmtId="0" fontId="10" fillId="0" borderId="0"/>
    <xf numFmtId="0" fontId="11" fillId="0" borderId="1" applyNumberFormat="0" applyFill="0" applyAlignment="0" applyProtection="0"/>
    <xf numFmtId="165" fontId="10" fillId="0" borderId="0"/>
    <xf numFmtId="0" fontId="24" fillId="0" borderId="0">
      <alignment horizontal="center"/>
    </xf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8" fillId="0" borderId="0"/>
    <xf numFmtId="43" fontId="1" fillId="0" borderId="0" applyFont="0" applyFill="0" applyBorder="0" applyAlignment="0" applyProtection="0"/>
    <xf numFmtId="0" fontId="66" fillId="0" borderId="0"/>
    <xf numFmtId="0" fontId="67" fillId="13" borderId="0"/>
    <xf numFmtId="43" fontId="1" fillId="0" borderId="0" applyFont="0" applyFill="0" applyBorder="0" applyAlignment="0" applyProtection="0"/>
    <xf numFmtId="0" fontId="71" fillId="0" borderId="0" applyBorder="0" applyProtection="0"/>
    <xf numFmtId="0" fontId="72" fillId="0" borderId="0"/>
    <xf numFmtId="0" fontId="73" fillId="0" borderId="0"/>
    <xf numFmtId="0" fontId="74" fillId="0" borderId="0">
      <alignment horizontal="center"/>
    </xf>
    <xf numFmtId="0" fontId="74" fillId="0" borderId="0">
      <alignment horizontal="center" textRotation="90"/>
    </xf>
    <xf numFmtId="0" fontId="75" fillId="0" borderId="0"/>
    <xf numFmtId="168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13" borderId="0"/>
    <xf numFmtId="43" fontId="1" fillId="0" borderId="0" applyFont="0" applyFill="0" applyBorder="0" applyAlignment="0" applyProtection="0"/>
    <xf numFmtId="0" fontId="78" fillId="0" borderId="0"/>
    <xf numFmtId="0" fontId="79" fillId="0" borderId="0"/>
    <xf numFmtId="0" fontId="80" fillId="15" borderId="0"/>
    <xf numFmtId="0" fontId="80" fillId="16" borderId="0"/>
    <xf numFmtId="0" fontId="79" fillId="17" borderId="0"/>
    <xf numFmtId="0" fontId="81" fillId="18" borderId="0"/>
    <xf numFmtId="0" fontId="82" fillId="19" borderId="0"/>
    <xf numFmtId="0" fontId="83" fillId="0" borderId="0"/>
    <xf numFmtId="0" fontId="84" fillId="0" borderId="0"/>
    <xf numFmtId="0" fontId="85" fillId="20" borderId="0"/>
    <xf numFmtId="0" fontId="86" fillId="0" borderId="0"/>
    <xf numFmtId="0" fontId="87" fillId="0" borderId="0"/>
    <xf numFmtId="0" fontId="88" fillId="0" borderId="0"/>
    <xf numFmtId="0" fontId="89" fillId="21" borderId="0"/>
    <xf numFmtId="0" fontId="90" fillId="21" borderId="122"/>
    <xf numFmtId="0" fontId="78" fillId="0" borderId="0"/>
    <xf numFmtId="0" fontId="78" fillId="0" borderId="0"/>
    <xf numFmtId="0" fontId="81" fillId="0" borderId="0"/>
    <xf numFmtId="0" fontId="72" fillId="0" borderId="0"/>
    <xf numFmtId="0" fontId="91" fillId="0" borderId="0"/>
    <xf numFmtId="0" fontId="92" fillId="15" borderId="0"/>
    <xf numFmtId="0" fontId="92" fillId="16" borderId="0"/>
    <xf numFmtId="0" fontId="91" fillId="17" borderId="0"/>
    <xf numFmtId="0" fontId="93" fillId="18" borderId="0"/>
    <xf numFmtId="0" fontId="94" fillId="19" borderId="0"/>
    <xf numFmtId="0" fontId="95" fillId="0" borderId="0"/>
    <xf numFmtId="0" fontId="96" fillId="2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21" borderId="0"/>
    <xf numFmtId="0" fontId="102" fillId="21" borderId="122"/>
    <xf numFmtId="0" fontId="72" fillId="0" borderId="0"/>
    <xf numFmtId="0" fontId="72" fillId="0" borderId="0"/>
    <xf numFmtId="0" fontId="93" fillId="0" borderId="0"/>
    <xf numFmtId="0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9" fillId="0" borderId="0"/>
    <xf numFmtId="0" fontId="80" fillId="15" borderId="0"/>
    <xf numFmtId="0" fontId="80" fillId="16" borderId="0"/>
    <xf numFmtId="0" fontId="79" fillId="17" borderId="0"/>
    <xf numFmtId="0" fontId="81" fillId="18" borderId="0"/>
    <xf numFmtId="0" fontId="82" fillId="19" borderId="0"/>
    <xf numFmtId="0" fontId="84" fillId="0" borderId="0"/>
    <xf numFmtId="0" fontId="85" fillId="20" borderId="0"/>
    <xf numFmtId="0" fontId="86" fillId="0" borderId="0"/>
    <xf numFmtId="0" fontId="87" fillId="0" borderId="0"/>
    <xf numFmtId="0" fontId="88" fillId="0" borderId="0"/>
    <xf numFmtId="0" fontId="89" fillId="21" borderId="0"/>
    <xf numFmtId="0" fontId="90" fillId="21" borderId="122"/>
    <xf numFmtId="0" fontId="78" fillId="0" borderId="0"/>
    <xf numFmtId="0" fontId="78" fillId="0" borderId="0"/>
    <xf numFmtId="0" fontId="8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8" fillId="0" borderId="0"/>
    <xf numFmtId="0" fontId="137" fillId="0" borderId="0"/>
    <xf numFmtId="0" fontId="138" fillId="0" borderId="0"/>
    <xf numFmtId="43" fontId="1" fillId="0" borderId="0" applyFont="0" applyFill="0" applyBorder="0" applyAlignment="0" applyProtection="0"/>
    <xf numFmtId="0" fontId="134" fillId="0" borderId="0"/>
    <xf numFmtId="0" fontId="127" fillId="25" borderId="0"/>
    <xf numFmtId="43" fontId="1" fillId="0" borderId="0" applyFont="0" applyFill="0" applyBorder="0" applyAlignment="0" applyProtection="0"/>
    <xf numFmtId="0" fontId="131" fillId="27" borderId="0"/>
    <xf numFmtId="9" fontId="103" fillId="0" borderId="0" applyBorder="0" applyProtection="0"/>
    <xf numFmtId="43" fontId="1" fillId="0" borderId="0" applyFont="0" applyFill="0" applyBorder="0" applyAlignment="0" applyProtection="0"/>
    <xf numFmtId="0" fontId="133" fillId="0" borderId="0"/>
    <xf numFmtId="0" fontId="138" fillId="0" borderId="0"/>
    <xf numFmtId="0" fontId="135" fillId="0" borderId="0"/>
    <xf numFmtId="0" fontId="136" fillId="28" borderId="0"/>
    <xf numFmtId="0" fontId="140" fillId="0" borderId="144" applyProtection="0"/>
    <xf numFmtId="0" fontId="103" fillId="0" borderId="0"/>
    <xf numFmtId="0" fontId="126" fillId="24" borderId="0"/>
    <xf numFmtId="9" fontId="66" fillId="0" borderId="0" applyBorder="0" applyProtection="0"/>
    <xf numFmtId="0" fontId="67" fillId="29" borderId="0"/>
    <xf numFmtId="0" fontId="127" fillId="0" borderId="0"/>
    <xf numFmtId="0" fontId="103" fillId="0" borderId="0"/>
    <xf numFmtId="0" fontId="128" fillId="26" borderId="0"/>
    <xf numFmtId="0" fontId="130" fillId="0" borderId="0"/>
    <xf numFmtId="0" fontId="126" fillId="0" borderId="0"/>
    <xf numFmtId="0" fontId="129" fillId="0" borderId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9" fillId="0" borderId="0"/>
    <xf numFmtId="0" fontId="91" fillId="0" borderId="0" applyNumberFormat="0" applyBorder="0" applyProtection="0"/>
    <xf numFmtId="0" fontId="92" fillId="15" borderId="0" applyNumberFormat="0" applyBorder="0" applyProtection="0"/>
    <xf numFmtId="0" fontId="92" fillId="16" borderId="0" applyNumberFormat="0" applyBorder="0" applyProtection="0"/>
    <xf numFmtId="0" fontId="91" fillId="17" borderId="0" applyNumberFormat="0" applyBorder="0" applyProtection="0"/>
    <xf numFmtId="0" fontId="93" fillId="18" borderId="0" applyNumberFormat="0" applyBorder="0" applyProtection="0"/>
    <xf numFmtId="0" fontId="94" fillId="19" borderId="0" applyNumberFormat="0" applyBorder="0" applyProtection="0"/>
    <xf numFmtId="0" fontId="83" fillId="0" borderId="0" applyNumberFormat="0" applyBorder="0" applyProtection="0"/>
    <xf numFmtId="0" fontId="95" fillId="0" borderId="0" applyNumberFormat="0" applyBorder="0" applyProtection="0"/>
    <xf numFmtId="0" fontId="96" fillId="20" borderId="0" applyNumberFormat="0" applyBorder="0" applyProtection="0"/>
    <xf numFmtId="0" fontId="110" fillId="0" borderId="0" applyNumberFormat="0" applyBorder="0" applyProtection="0">
      <alignment horizontal="center"/>
    </xf>
    <xf numFmtId="0" fontId="97" fillId="0" borderId="0" applyNumberFormat="0" applyBorder="0" applyProtection="0"/>
    <xf numFmtId="0" fontId="98" fillId="0" borderId="0" applyNumberFormat="0" applyBorder="0" applyProtection="0"/>
    <xf numFmtId="0" fontId="99" fillId="0" borderId="0" applyNumberFormat="0" applyBorder="0" applyProtection="0"/>
    <xf numFmtId="0" fontId="110" fillId="0" borderId="0" applyNumberFormat="0" applyBorder="0" applyProtection="0">
      <alignment horizontal="center" textRotation="90"/>
    </xf>
    <xf numFmtId="0" fontId="100" fillId="0" borderId="0" applyNumberFormat="0" applyBorder="0" applyProtection="0"/>
    <xf numFmtId="0" fontId="101" fillId="21" borderId="0" applyNumberFormat="0" applyBorder="0" applyProtection="0"/>
    <xf numFmtId="0" fontId="102" fillId="21" borderId="122" applyNumberFormat="0" applyProtection="0"/>
    <xf numFmtId="0" fontId="111" fillId="0" borderId="0" applyNumberFormat="0" applyBorder="0" applyProtection="0"/>
    <xf numFmtId="168" fontId="111" fillId="0" borderId="0" applyBorder="0" applyProtection="0"/>
    <xf numFmtId="0" fontId="109" fillId="0" borderId="0" applyNumberFormat="0" applyFont="0" applyBorder="0" applyProtection="0"/>
    <xf numFmtId="0" fontId="109" fillId="0" borderId="0" applyNumberFormat="0" applyFont="0" applyBorder="0" applyProtection="0"/>
    <xf numFmtId="0" fontId="93" fillId="0" borderId="0" applyNumberFormat="0" applyBorder="0" applyProtection="0"/>
    <xf numFmtId="0" fontId="110" fillId="0" borderId="0" applyNumberFormat="0" applyBorder="0" applyProtection="0">
      <alignment horizontal="center"/>
    </xf>
    <xf numFmtId="0" fontId="137" fillId="0" borderId="0"/>
    <xf numFmtId="0" fontId="66" fillId="0" borderId="0"/>
    <xf numFmtId="0" fontId="132" fillId="0" borderId="0"/>
    <xf numFmtId="169" fontId="66" fillId="0" borderId="0" applyBorder="0" applyProtection="0"/>
    <xf numFmtId="0" fontId="139" fillId="28" borderId="122"/>
    <xf numFmtId="0" fontId="137" fillId="0" borderId="0"/>
    <xf numFmtId="0" fontId="125" fillId="22" borderId="0"/>
    <xf numFmtId="0" fontId="125" fillId="23" borderId="0"/>
    <xf numFmtId="0" fontId="112" fillId="0" borderId="0"/>
    <xf numFmtId="0" fontId="113" fillId="0" borderId="0"/>
    <xf numFmtId="0" fontId="114" fillId="15" borderId="0"/>
    <xf numFmtId="0" fontId="114" fillId="16" borderId="0"/>
    <xf numFmtId="0" fontId="113" fillId="17" borderId="0"/>
    <xf numFmtId="0" fontId="115" fillId="18" borderId="0"/>
    <xf numFmtId="0" fontId="116" fillId="19" borderId="0"/>
    <xf numFmtId="0" fontId="117" fillId="0" borderId="0"/>
    <xf numFmtId="0" fontId="118" fillId="2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21" borderId="0"/>
    <xf numFmtId="0" fontId="124" fillId="21" borderId="122"/>
    <xf numFmtId="0" fontId="112" fillId="0" borderId="0"/>
    <xf numFmtId="0" fontId="112" fillId="0" borderId="0"/>
    <xf numFmtId="0" fontId="1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5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16" fillId="0" borderId="0" xfId="0" applyFont="1" applyAlignment="1">
      <alignment horizontal="center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0" fillId="3" borderId="0" xfId="0" applyFill="1"/>
    <xf numFmtId="9" fontId="0" fillId="0" borderId="0" xfId="0" applyNumberFormat="1"/>
    <xf numFmtId="9" fontId="0" fillId="0" borderId="8" xfId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21" fillId="3" borderId="0" xfId="0" applyNumberFormat="1" applyFont="1" applyFill="1" applyAlignment="1">
      <alignment horizontal="center"/>
    </xf>
    <xf numFmtId="0" fontId="15" fillId="3" borderId="0" xfId="2" applyFont="1" applyFill="1" applyAlignment="1">
      <alignment horizontal="center" vertical="center"/>
    </xf>
    <xf numFmtId="3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0" fillId="3" borderId="28" xfId="0" applyFill="1" applyBorder="1" applyAlignment="1">
      <alignment horizontal="center"/>
    </xf>
    <xf numFmtId="3" fontId="0" fillId="3" borderId="28" xfId="0" applyNumberFormat="1" applyFill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0" fontId="2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9" fontId="0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0" fillId="3" borderId="34" xfId="0" applyNumberFormat="1" applyFill="1" applyBorder="1" applyAlignment="1">
      <alignment horizontal="center"/>
    </xf>
    <xf numFmtId="0" fontId="33" fillId="3" borderId="33" xfId="2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21" fillId="3" borderId="0" xfId="0" applyFont="1" applyFill="1"/>
    <xf numFmtId="0" fontId="16" fillId="0" borderId="0" xfId="0" applyFo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0" fillId="3" borderId="49" xfId="0" applyFill="1" applyBorder="1" applyAlignment="1">
      <alignment horizontal="center"/>
    </xf>
    <xf numFmtId="0" fontId="2" fillId="0" borderId="0" xfId="0" applyFont="1"/>
    <xf numFmtId="0" fontId="32" fillId="3" borderId="0" xfId="0" applyFont="1" applyFill="1" applyAlignment="1">
      <alignment horizontal="center"/>
    </xf>
    <xf numFmtId="3" fontId="32" fillId="3" borderId="0" xfId="0" applyNumberFormat="1" applyFont="1" applyFill="1" applyAlignment="1">
      <alignment horizontal="center"/>
    </xf>
    <xf numFmtId="3" fontId="3" fillId="0" borderId="57" xfId="1" applyNumberFormat="1" applyFont="1" applyBorder="1" applyAlignment="1">
      <alignment horizontal="center" vertic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0" fontId="30" fillId="3" borderId="0" xfId="0" applyFont="1" applyFill="1"/>
    <xf numFmtId="0" fontId="31" fillId="3" borderId="0" xfId="0" applyFont="1" applyFill="1"/>
    <xf numFmtId="3" fontId="3" fillId="0" borderId="58" xfId="0" applyNumberFormat="1" applyFont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2" xfId="0" applyNumberFormat="1" applyBorder="1" applyAlignment="1" applyProtection="1">
      <alignment horizontal="center" vertical="center"/>
      <protection locked="0"/>
    </xf>
    <xf numFmtId="3" fontId="3" fillId="0" borderId="62" xfId="0" applyNumberFormat="1" applyFont="1" applyBorder="1" applyAlignment="1">
      <alignment horizontal="center" vertical="center"/>
    </xf>
    <xf numFmtId="3" fontId="3" fillId="0" borderId="63" xfId="1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3" fillId="0" borderId="59" xfId="1" applyNumberFormat="1" applyFont="1" applyBorder="1" applyAlignment="1">
      <alignment horizontal="center" vertical="center"/>
    </xf>
    <xf numFmtId="0" fontId="14" fillId="0" borderId="0" xfId="0" applyFont="1"/>
    <xf numFmtId="3" fontId="3" fillId="4" borderId="35" xfId="0" applyNumberFormat="1" applyFont="1" applyFill="1" applyBorder="1" applyAlignment="1">
      <alignment horizontal="center"/>
    </xf>
    <xf numFmtId="9" fontId="3" fillId="4" borderId="37" xfId="0" applyNumberFormat="1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20" fillId="4" borderId="3" xfId="0" applyNumberFormat="1" applyFont="1" applyFill="1" applyBorder="1" applyAlignment="1">
      <alignment horizontal="center" vertical="center"/>
    </xf>
    <xf numFmtId="9" fontId="3" fillId="4" borderId="2" xfId="1" applyFont="1" applyFill="1" applyBorder="1" applyAlignment="1">
      <alignment horizontal="center" vertical="center"/>
    </xf>
    <xf numFmtId="9" fontId="3" fillId="4" borderId="10" xfId="1" applyFont="1" applyFill="1" applyBorder="1" applyAlignment="1">
      <alignment horizontal="center" vertical="center"/>
    </xf>
    <xf numFmtId="0" fontId="29" fillId="5" borderId="22" xfId="2" applyFont="1" applyFill="1" applyBorder="1" applyAlignment="1">
      <alignment horizontal="center" vertical="center" wrapText="1"/>
    </xf>
    <xf numFmtId="0" fontId="29" fillId="5" borderId="3" xfId="2" applyFont="1" applyFill="1" applyBorder="1" applyAlignment="1">
      <alignment horizontal="center" vertical="center" wrapText="1"/>
    </xf>
    <xf numFmtId="9" fontId="3" fillId="4" borderId="3" xfId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4" fillId="0" borderId="21" xfId="0" applyFont="1" applyBorder="1"/>
    <xf numFmtId="0" fontId="5" fillId="3" borderId="0" xfId="0" applyFont="1" applyFill="1" applyAlignment="1">
      <alignment horizontal="center" vertical="center"/>
    </xf>
    <xf numFmtId="1" fontId="2" fillId="3" borderId="0" xfId="1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2" applyFont="1" applyFill="1" applyAlignment="1">
      <alignment horizontal="center" vertical="center"/>
    </xf>
    <xf numFmtId="3" fontId="0" fillId="3" borderId="40" xfId="0" applyNumberFormat="1" applyFill="1" applyBorder="1" applyAlignment="1">
      <alignment horizontal="center"/>
    </xf>
    <xf numFmtId="3" fontId="0" fillId="3" borderId="73" xfId="0" applyNumberFormat="1" applyFill="1" applyBorder="1" applyAlignment="1">
      <alignment horizontal="center"/>
    </xf>
    <xf numFmtId="3" fontId="3" fillId="4" borderId="74" xfId="0" applyNumberFormat="1" applyFont="1" applyFill="1" applyBorder="1" applyAlignment="1">
      <alignment horizontal="center"/>
    </xf>
    <xf numFmtId="3" fontId="3" fillId="4" borderId="75" xfId="0" applyNumberFormat="1" applyFont="1" applyFill="1" applyBorder="1" applyAlignment="1">
      <alignment horizontal="center"/>
    </xf>
    <xf numFmtId="3" fontId="3" fillId="4" borderId="42" xfId="0" applyNumberFormat="1" applyFont="1" applyFill="1" applyBorder="1" applyAlignment="1">
      <alignment horizontal="center"/>
    </xf>
    <xf numFmtId="9" fontId="34" fillId="3" borderId="0" xfId="1" applyFont="1" applyFill="1" applyAlignment="1">
      <alignment horizontal="center" vertical="center"/>
    </xf>
    <xf numFmtId="0" fontId="16" fillId="3" borderId="0" xfId="0" applyFont="1" applyFill="1"/>
    <xf numFmtId="3" fontId="34" fillId="3" borderId="0" xfId="0" applyNumberFormat="1" applyFont="1" applyFill="1" applyAlignment="1">
      <alignment horizontal="center" vertical="center"/>
    </xf>
    <xf numFmtId="0" fontId="12" fillId="0" borderId="0" xfId="0" applyFont="1"/>
    <xf numFmtId="0" fontId="12" fillId="3" borderId="0" xfId="0" applyFont="1" applyFill="1"/>
    <xf numFmtId="0" fontId="44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3" fontId="43" fillId="4" borderId="2" xfId="0" applyNumberFormat="1" applyFont="1" applyFill="1" applyBorder="1" applyAlignment="1">
      <alignment horizontal="center" vertical="center"/>
    </xf>
    <xf numFmtId="3" fontId="42" fillId="4" borderId="2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0" fontId="43" fillId="4" borderId="3" xfId="0" applyFont="1" applyFill="1" applyBorder="1" applyAlignment="1">
      <alignment horizontal="center" vertical="center"/>
    </xf>
    <xf numFmtId="3" fontId="43" fillId="4" borderId="3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0" fontId="45" fillId="0" borderId="0" xfId="0" applyFont="1"/>
    <xf numFmtId="9" fontId="12" fillId="0" borderId="2" xfId="1" applyFont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/>
    </xf>
    <xf numFmtId="0" fontId="46" fillId="5" borderId="2" xfId="2" applyFont="1" applyFill="1" applyBorder="1" applyAlignment="1">
      <alignment horizontal="center" vertical="center" wrapText="1"/>
    </xf>
    <xf numFmtId="9" fontId="43" fillId="4" borderId="2" xfId="1" applyFont="1" applyFill="1" applyBorder="1" applyAlignment="1">
      <alignment horizontal="center" vertical="center"/>
    </xf>
    <xf numFmtId="0" fontId="46" fillId="5" borderId="3" xfId="2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9" fontId="43" fillId="4" borderId="8" xfId="0" applyNumberFormat="1" applyFont="1" applyFill="1" applyBorder="1" applyAlignment="1">
      <alignment horizontal="center" vertical="center"/>
    </xf>
    <xf numFmtId="0" fontId="47" fillId="0" borderId="0" xfId="0" applyFont="1"/>
    <xf numFmtId="0" fontId="43" fillId="3" borderId="2" xfId="0" applyFont="1" applyFill="1" applyBorder="1" applyAlignment="1">
      <alignment horizontal="center" vertical="center"/>
    </xf>
    <xf numFmtId="0" fontId="12" fillId="0" borderId="2" xfId="0" applyFont="1" applyBorder="1"/>
    <xf numFmtId="3" fontId="43" fillId="2" borderId="2" xfId="0" applyNumberFormat="1" applyFont="1" applyFill="1" applyBorder="1" applyAlignment="1">
      <alignment horizontal="center" vertical="center"/>
    </xf>
    <xf numFmtId="3" fontId="43" fillId="2" borderId="8" xfId="0" applyNumberFormat="1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/>
    </xf>
    <xf numFmtId="0" fontId="38" fillId="3" borderId="77" xfId="0" applyFont="1" applyFill="1" applyBorder="1" applyAlignment="1">
      <alignment horizontal="right" vertical="center"/>
    </xf>
    <xf numFmtId="0" fontId="34" fillId="3" borderId="77" xfId="0" applyFont="1" applyFill="1" applyBorder="1" applyAlignment="1">
      <alignment horizontal="center" vertical="center"/>
    </xf>
    <xf numFmtId="3" fontId="37" fillId="3" borderId="77" xfId="0" applyNumberFormat="1" applyFont="1" applyFill="1" applyBorder="1" applyAlignment="1">
      <alignment horizontal="right"/>
    </xf>
    <xf numFmtId="3" fontId="21" fillId="3" borderId="77" xfId="0" applyNumberFormat="1" applyFont="1" applyFill="1" applyBorder="1" applyAlignment="1">
      <alignment horizontal="center" vertical="center"/>
    </xf>
    <xf numFmtId="3" fontId="34" fillId="3" borderId="77" xfId="0" applyNumberFormat="1" applyFont="1" applyFill="1" applyBorder="1" applyAlignment="1">
      <alignment horizontal="center" vertical="center"/>
    </xf>
    <xf numFmtId="0" fontId="21" fillId="3" borderId="7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4" fillId="3" borderId="0" xfId="0" applyFont="1" applyFill="1"/>
    <xf numFmtId="0" fontId="13" fillId="3" borderId="0" xfId="0" applyFont="1" applyFill="1"/>
    <xf numFmtId="0" fontId="13" fillId="2" borderId="70" xfId="0" applyFont="1" applyFill="1" applyBorder="1" applyAlignment="1">
      <alignment horizontal="left" vertical="center"/>
    </xf>
    <xf numFmtId="0" fontId="13" fillId="2" borderId="49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3" fontId="14" fillId="0" borderId="28" xfId="0" applyNumberFormat="1" applyFont="1" applyBorder="1" applyAlignment="1">
      <alignment horizontal="center" vertical="center"/>
    </xf>
    <xf numFmtId="9" fontId="14" fillId="0" borderId="28" xfId="1" applyFont="1" applyBorder="1" applyAlignment="1">
      <alignment horizontal="center" vertical="center"/>
    </xf>
    <xf numFmtId="0" fontId="13" fillId="2" borderId="29" xfId="0" applyFont="1" applyFill="1" applyBorder="1" applyAlignment="1">
      <alignment horizontal="left" vertical="center"/>
    </xf>
    <xf numFmtId="3" fontId="13" fillId="2" borderId="28" xfId="0" applyNumberFormat="1" applyFont="1" applyFill="1" applyBorder="1" applyAlignment="1">
      <alignment horizontal="center" vertical="center"/>
    </xf>
    <xf numFmtId="9" fontId="13" fillId="2" borderId="28" xfId="1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left" vertical="center"/>
    </xf>
    <xf numFmtId="3" fontId="13" fillId="3" borderId="28" xfId="0" applyNumberFormat="1" applyFont="1" applyFill="1" applyBorder="1" applyAlignment="1">
      <alignment horizontal="center" vertical="center"/>
    </xf>
    <xf numFmtId="9" fontId="13" fillId="3" borderId="28" xfId="1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left" vertical="center"/>
    </xf>
    <xf numFmtId="3" fontId="13" fillId="2" borderId="40" xfId="0" applyNumberFormat="1" applyFont="1" applyFill="1" applyBorder="1" applyAlignment="1">
      <alignment horizontal="center" vertical="center"/>
    </xf>
    <xf numFmtId="9" fontId="13" fillId="2" borderId="40" xfId="1" applyFont="1" applyFill="1" applyBorder="1" applyAlignment="1">
      <alignment horizontal="center" vertical="center"/>
    </xf>
    <xf numFmtId="3" fontId="13" fillId="2" borderId="73" xfId="0" applyNumberFormat="1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left"/>
    </xf>
    <xf numFmtId="3" fontId="35" fillId="2" borderId="40" xfId="0" applyNumberFormat="1" applyFont="1" applyFill="1" applyBorder="1" applyAlignment="1">
      <alignment horizontal="center" vertical="center"/>
    </xf>
    <xf numFmtId="9" fontId="13" fillId="2" borderId="28" xfId="1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left" vertical="center"/>
    </xf>
    <xf numFmtId="3" fontId="13" fillId="2" borderId="36" xfId="0" applyNumberFormat="1" applyFont="1" applyFill="1" applyBorder="1" applyAlignment="1">
      <alignment horizontal="center" vertical="center"/>
    </xf>
    <xf numFmtId="9" fontId="13" fillId="2" borderId="36" xfId="1" applyFont="1" applyFill="1" applyBorder="1" applyAlignment="1">
      <alignment horizontal="center" vertical="center"/>
    </xf>
    <xf numFmtId="0" fontId="51" fillId="3" borderId="0" xfId="0" applyFont="1" applyFill="1"/>
    <xf numFmtId="0" fontId="52" fillId="3" borderId="0" xfId="0" applyFont="1" applyFill="1" applyAlignment="1">
      <alignment horizontal="left"/>
    </xf>
    <xf numFmtId="0" fontId="52" fillId="3" borderId="0" xfId="0" applyFont="1" applyFill="1"/>
    <xf numFmtId="0" fontId="53" fillId="3" borderId="0" xfId="0" applyFont="1" applyFill="1"/>
    <xf numFmtId="0" fontId="35" fillId="3" borderId="0" xfId="0" applyFont="1" applyFill="1" applyAlignment="1">
      <alignment horizontal="left"/>
    </xf>
    <xf numFmtId="0" fontId="35" fillId="3" borderId="0" xfId="0" applyFont="1" applyFill="1"/>
    <xf numFmtId="0" fontId="35" fillId="3" borderId="0" xfId="0" applyFont="1" applyFill="1" applyAlignment="1">
      <alignment vertical="center"/>
    </xf>
    <xf numFmtId="0" fontId="35" fillId="3" borderId="0" xfId="0" applyFont="1" applyFill="1" applyAlignment="1">
      <alignment horizontal="left" vertical="center"/>
    </xf>
    <xf numFmtId="3" fontId="35" fillId="3" borderId="0" xfId="0" applyNumberFormat="1" applyFont="1" applyFill="1" applyAlignment="1">
      <alignment horizontal="center" vertical="center"/>
    </xf>
    <xf numFmtId="0" fontId="52" fillId="3" borderId="0" xfId="0" applyFont="1" applyFill="1" applyAlignment="1">
      <alignment vertical="center"/>
    </xf>
    <xf numFmtId="3" fontId="51" fillId="3" borderId="77" xfId="0" applyNumberFormat="1" applyFont="1" applyFill="1" applyBorder="1" applyAlignment="1">
      <alignment horizontal="center" vertical="center"/>
    </xf>
    <xf numFmtId="3" fontId="51" fillId="3" borderId="77" xfId="0" applyNumberFormat="1" applyFont="1" applyFill="1" applyBorder="1" applyAlignment="1" applyProtection="1">
      <alignment horizontal="center" vertical="center"/>
      <protection locked="0"/>
    </xf>
    <xf numFmtId="0" fontId="52" fillId="3" borderId="0" xfId="0" applyFont="1" applyFill="1" applyAlignment="1">
      <alignment horizontal="left" vertical="center"/>
    </xf>
    <xf numFmtId="3" fontId="52" fillId="3" borderId="0" xfId="0" applyNumberFormat="1" applyFont="1" applyFill="1" applyAlignment="1">
      <alignment horizontal="center" vertical="center"/>
    </xf>
    <xf numFmtId="9" fontId="43" fillId="2" borderId="3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55" fillId="3" borderId="0" xfId="0" applyFont="1" applyFill="1"/>
    <xf numFmtId="0" fontId="59" fillId="8" borderId="2" xfId="2" applyFont="1" applyFill="1" applyBorder="1" applyAlignment="1">
      <alignment horizontal="center"/>
    </xf>
    <xf numFmtId="0" fontId="59" fillId="9" borderId="2" xfId="2" applyFont="1" applyFill="1" applyBorder="1" applyAlignment="1">
      <alignment horizontal="center"/>
    </xf>
    <xf numFmtId="0" fontId="59" fillId="10" borderId="2" xfId="2" applyFont="1" applyFill="1" applyBorder="1" applyAlignment="1">
      <alignment horizontal="center"/>
    </xf>
    <xf numFmtId="0" fontId="59" fillId="0" borderId="2" xfId="2" applyFont="1" applyBorder="1" applyAlignment="1">
      <alignment horizontal="center" vertical="center"/>
    </xf>
    <xf numFmtId="3" fontId="56" fillId="0" borderId="2" xfId="2" applyNumberFormat="1" applyFont="1" applyBorder="1" applyAlignment="1" applyProtection="1">
      <alignment horizontal="center" vertical="center"/>
      <protection locked="0"/>
    </xf>
    <xf numFmtId="3" fontId="56" fillId="0" borderId="2" xfId="2" applyNumberFormat="1" applyFont="1" applyBorder="1" applyAlignment="1">
      <alignment horizontal="center" vertical="center"/>
    </xf>
    <xf numFmtId="167" fontId="56" fillId="0" borderId="2" xfId="1" applyNumberFormat="1" applyFont="1" applyBorder="1" applyAlignment="1">
      <alignment horizontal="center" vertical="center"/>
    </xf>
    <xf numFmtId="166" fontId="55" fillId="3" borderId="0" xfId="0" applyNumberFormat="1" applyFont="1" applyFill="1"/>
    <xf numFmtId="0" fontId="55" fillId="0" borderId="0" xfId="0" applyFont="1"/>
    <xf numFmtId="166" fontId="55" fillId="0" borderId="0" xfId="0" applyNumberFormat="1" applyFont="1"/>
    <xf numFmtId="0" fontId="59" fillId="0" borderId="0" xfId="2" applyFont="1" applyAlignment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62" fillId="3" borderId="0" xfId="0" applyFont="1" applyFill="1" applyAlignment="1">
      <alignment vertical="center"/>
    </xf>
    <xf numFmtId="1" fontId="59" fillId="3" borderId="0" xfId="2" applyNumberFormat="1" applyFont="1" applyFill="1" applyAlignment="1">
      <alignment horizontal="center" vertical="center"/>
    </xf>
    <xf numFmtId="3" fontId="56" fillId="3" borderId="0" xfId="2" applyNumberFormat="1" applyFont="1" applyFill="1" applyAlignment="1">
      <alignment vertical="center"/>
    </xf>
    <xf numFmtId="3" fontId="55" fillId="3" borderId="0" xfId="0" applyNumberFormat="1" applyFont="1" applyFill="1"/>
    <xf numFmtId="0" fontId="34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right" vertical="center" wrapText="1"/>
    </xf>
    <xf numFmtId="3" fontId="2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9" fontId="2" fillId="3" borderId="0" xfId="0" applyNumberFormat="1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3" fontId="2" fillId="3" borderId="0" xfId="0" applyNumberFormat="1" applyFont="1" applyFill="1"/>
    <xf numFmtId="3" fontId="21" fillId="3" borderId="81" xfId="0" applyNumberFormat="1" applyFont="1" applyFill="1" applyBorder="1" applyAlignment="1">
      <alignment horizontal="center" vertical="center"/>
    </xf>
    <xf numFmtId="9" fontId="21" fillId="3" borderId="81" xfId="1" applyFont="1" applyFill="1" applyBorder="1" applyAlignment="1">
      <alignment horizontal="center" vertical="center"/>
    </xf>
    <xf numFmtId="9" fontId="21" fillId="3" borderId="81" xfId="1" applyFont="1" applyFill="1" applyBorder="1" applyAlignment="1">
      <alignment horizontal="center"/>
    </xf>
    <xf numFmtId="3" fontId="34" fillId="3" borderId="81" xfId="0" applyNumberFormat="1" applyFont="1" applyFill="1" applyBorder="1" applyAlignment="1">
      <alignment horizontal="center" vertical="center"/>
    </xf>
    <xf numFmtId="9" fontId="34" fillId="3" borderId="81" xfId="1" applyFont="1" applyFill="1" applyBorder="1" applyAlignment="1">
      <alignment horizontal="center" vertical="center"/>
    </xf>
    <xf numFmtId="0" fontId="34" fillId="3" borderId="81" xfId="0" applyFont="1" applyFill="1" applyBorder="1" applyAlignment="1">
      <alignment horizontal="right" vertical="center" wrapText="1"/>
    </xf>
    <xf numFmtId="0" fontId="34" fillId="3" borderId="82" xfId="0" applyFont="1" applyFill="1" applyBorder="1" applyAlignment="1">
      <alignment horizontal="right" vertical="center"/>
    </xf>
    <xf numFmtId="0" fontId="34" fillId="3" borderId="84" xfId="0" applyFont="1" applyFill="1" applyBorder="1" applyAlignment="1">
      <alignment horizontal="center" vertical="center"/>
    </xf>
    <xf numFmtId="3" fontId="34" fillId="3" borderId="86" xfId="0" applyNumberFormat="1" applyFont="1" applyFill="1" applyBorder="1" applyAlignment="1">
      <alignment horizontal="center" vertical="center"/>
    </xf>
    <xf numFmtId="0" fontId="34" fillId="3" borderId="85" xfId="0" applyFont="1" applyFill="1" applyBorder="1" applyAlignment="1">
      <alignment horizontal="right" vertical="center" wrapText="1"/>
    </xf>
    <xf numFmtId="0" fontId="34" fillId="3" borderId="88" xfId="0" applyFont="1" applyFill="1" applyBorder="1" applyAlignment="1">
      <alignment horizontal="center" vertical="center"/>
    </xf>
    <xf numFmtId="3" fontId="34" fillId="3" borderId="88" xfId="0" applyNumberFormat="1" applyFont="1" applyFill="1" applyBorder="1" applyAlignment="1">
      <alignment horizontal="center" vertical="center"/>
    </xf>
    <xf numFmtId="9" fontId="34" fillId="3" borderId="88" xfId="1" applyFont="1" applyFill="1" applyBorder="1" applyAlignment="1">
      <alignment horizontal="center" vertical="center"/>
    </xf>
    <xf numFmtId="3" fontId="34" fillId="3" borderId="89" xfId="0" applyNumberFormat="1" applyFont="1" applyFill="1" applyBorder="1" applyAlignment="1">
      <alignment horizontal="center" vertical="center"/>
    </xf>
    <xf numFmtId="3" fontId="34" fillId="3" borderId="90" xfId="0" applyNumberFormat="1" applyFont="1" applyFill="1" applyBorder="1" applyAlignment="1">
      <alignment horizontal="center" vertical="center"/>
    </xf>
    <xf numFmtId="9" fontId="34" fillId="3" borderId="90" xfId="1" applyFont="1" applyFill="1" applyBorder="1" applyAlignment="1">
      <alignment horizontal="center" vertical="center"/>
    </xf>
    <xf numFmtId="9" fontId="21" fillId="3" borderId="81" xfId="0" applyNumberFormat="1" applyFont="1" applyFill="1" applyBorder="1" applyAlignment="1">
      <alignment horizontal="center"/>
    </xf>
    <xf numFmtId="9" fontId="21" fillId="3" borderId="86" xfId="0" applyNumberFormat="1" applyFont="1" applyFill="1" applyBorder="1" applyAlignment="1">
      <alignment horizontal="center"/>
    </xf>
    <xf numFmtId="9" fontId="21" fillId="3" borderId="88" xfId="0" applyNumberFormat="1" applyFont="1" applyFill="1" applyBorder="1" applyAlignment="1">
      <alignment horizontal="center"/>
    </xf>
    <xf numFmtId="9" fontId="21" fillId="3" borderId="89" xfId="0" applyNumberFormat="1" applyFont="1" applyFill="1" applyBorder="1" applyAlignment="1">
      <alignment horizontal="center"/>
    </xf>
    <xf numFmtId="0" fontId="21" fillId="3" borderId="92" xfId="0" applyFont="1" applyFill="1" applyBorder="1" applyAlignment="1">
      <alignment horizontal="center" vertical="center"/>
    </xf>
    <xf numFmtId="9" fontId="21" fillId="3" borderId="92" xfId="1" applyFont="1" applyFill="1" applyBorder="1" applyAlignment="1">
      <alignment horizontal="center" vertical="center"/>
    </xf>
    <xf numFmtId="3" fontId="34" fillId="3" borderId="92" xfId="0" applyNumberFormat="1" applyFont="1" applyFill="1" applyBorder="1" applyAlignment="1">
      <alignment horizontal="center" vertical="center"/>
    </xf>
    <xf numFmtId="0" fontId="34" fillId="3" borderId="99" xfId="0" applyFont="1" applyFill="1" applyBorder="1" applyAlignment="1">
      <alignment horizontal="right" vertical="center" wrapText="1"/>
    </xf>
    <xf numFmtId="0" fontId="34" fillId="3" borderId="101" xfId="0" applyFont="1" applyFill="1" applyBorder="1" applyAlignment="1">
      <alignment horizontal="center" vertical="center"/>
    </xf>
    <xf numFmtId="0" fontId="21" fillId="3" borderId="90" xfId="0" applyFont="1" applyFill="1" applyBorder="1" applyAlignment="1">
      <alignment horizontal="center" vertical="center"/>
    </xf>
    <xf numFmtId="9" fontId="21" fillId="3" borderId="90" xfId="1" applyFont="1" applyFill="1" applyBorder="1" applyAlignment="1">
      <alignment horizontal="center" vertical="center"/>
    </xf>
    <xf numFmtId="0" fontId="34" fillId="3" borderId="99" xfId="0" applyFont="1" applyFill="1" applyBorder="1" applyAlignment="1">
      <alignment horizontal="center" vertical="center"/>
    </xf>
    <xf numFmtId="3" fontId="34" fillId="3" borderId="100" xfId="0" applyNumberFormat="1" applyFont="1" applyFill="1" applyBorder="1" applyAlignment="1">
      <alignment horizontal="center" vertical="center"/>
    </xf>
    <xf numFmtId="9" fontId="34" fillId="3" borderId="100" xfId="1" applyFont="1" applyFill="1" applyBorder="1" applyAlignment="1">
      <alignment horizontal="center" vertical="center"/>
    </xf>
    <xf numFmtId="3" fontId="34" fillId="3" borderId="101" xfId="0" applyNumberFormat="1" applyFont="1" applyFill="1" applyBorder="1" applyAlignment="1">
      <alignment horizontal="center" vertical="center"/>
    </xf>
    <xf numFmtId="1" fontId="34" fillId="3" borderId="100" xfId="1" applyNumberFormat="1" applyFont="1" applyFill="1" applyBorder="1" applyAlignment="1">
      <alignment horizontal="center" vertical="center"/>
    </xf>
    <xf numFmtId="0" fontId="34" fillId="3" borderId="103" xfId="0" applyFont="1" applyFill="1" applyBorder="1" applyAlignment="1">
      <alignment horizontal="center" vertical="center"/>
    </xf>
    <xf numFmtId="3" fontId="34" fillId="3" borderId="104" xfId="0" applyNumberFormat="1" applyFont="1" applyFill="1" applyBorder="1" applyAlignment="1">
      <alignment horizontal="center" vertical="center"/>
    </xf>
    <xf numFmtId="9" fontId="34" fillId="3" borderId="104" xfId="1" applyFont="1" applyFill="1" applyBorder="1" applyAlignment="1">
      <alignment horizontal="center" vertical="center"/>
    </xf>
    <xf numFmtId="0" fontId="63" fillId="3" borderId="0" xfId="0" applyFont="1" applyFill="1" applyAlignment="1">
      <alignment vertical="center" wrapText="1"/>
    </xf>
    <xf numFmtId="0" fontId="21" fillId="3" borderId="92" xfId="0" applyFont="1" applyFill="1" applyBorder="1"/>
    <xf numFmtId="0" fontId="34" fillId="3" borderId="82" xfId="0" applyFont="1" applyFill="1" applyBorder="1" applyAlignment="1">
      <alignment horizontal="right" vertical="center" wrapText="1"/>
    </xf>
    <xf numFmtId="0" fontId="21" fillId="3" borderId="92" xfId="0" applyFont="1" applyFill="1" applyBorder="1" applyAlignment="1">
      <alignment horizontal="center"/>
    </xf>
    <xf numFmtId="9" fontId="34" fillId="3" borderId="81" xfId="0" applyNumberFormat="1" applyFont="1" applyFill="1" applyBorder="1" applyAlignment="1">
      <alignment horizontal="center"/>
    </xf>
    <xf numFmtId="0" fontId="68" fillId="3" borderId="81" xfId="0" applyFont="1" applyFill="1" applyBorder="1"/>
    <xf numFmtId="0" fontId="69" fillId="14" borderId="81" xfId="2" applyFont="1" applyFill="1" applyBorder="1" applyAlignment="1">
      <alignment horizontal="center"/>
    </xf>
    <xf numFmtId="3" fontId="68" fillId="3" borderId="81" xfId="2" applyNumberFormat="1" applyFont="1" applyFill="1" applyBorder="1" applyAlignment="1" applyProtection="1">
      <alignment horizontal="center" vertical="center"/>
      <protection locked="0"/>
    </xf>
    <xf numFmtId="0" fontId="52" fillId="3" borderId="77" xfId="0" applyFont="1" applyFill="1" applyBorder="1" applyAlignment="1">
      <alignment horizontal="center" vertical="center"/>
    </xf>
    <xf numFmtId="3" fontId="52" fillId="3" borderId="0" xfId="0" applyNumberFormat="1" applyFont="1" applyFill="1" applyAlignment="1">
      <alignment vertical="center"/>
    </xf>
    <xf numFmtId="0" fontId="52" fillId="3" borderId="0" xfId="0" applyFont="1" applyFill="1" applyAlignment="1">
      <alignment horizontal="center" vertical="center"/>
    </xf>
    <xf numFmtId="3" fontId="52" fillId="3" borderId="0" xfId="1" applyNumberFormat="1" applyFont="1" applyFill="1" applyAlignment="1">
      <alignment horizontal="center" vertical="center"/>
    </xf>
    <xf numFmtId="3" fontId="51" fillId="3" borderId="0" xfId="0" applyNumberFormat="1" applyFont="1" applyFill="1" applyAlignment="1" applyProtection="1">
      <alignment horizontal="center" vertical="center"/>
      <protection locked="0"/>
    </xf>
    <xf numFmtId="166" fontId="52" fillId="3" borderId="0" xfId="1" applyNumberFormat="1" applyFont="1" applyFill="1" applyAlignment="1">
      <alignment horizontal="center" vertical="center"/>
    </xf>
    <xf numFmtId="0" fontId="52" fillId="3" borderId="114" xfId="0" applyFont="1" applyFill="1" applyBorder="1" applyAlignment="1">
      <alignment horizontal="left" vertical="center"/>
    </xf>
    <xf numFmtId="3" fontId="51" fillId="3" borderId="115" xfId="0" applyNumberFormat="1" applyFont="1" applyFill="1" applyBorder="1" applyAlignment="1" applyProtection="1">
      <alignment horizontal="center" vertical="center"/>
      <protection locked="0"/>
    </xf>
    <xf numFmtId="0" fontId="52" fillId="3" borderId="116" xfId="0" applyFont="1" applyFill="1" applyBorder="1" applyAlignment="1">
      <alignment horizontal="left" vertical="center"/>
    </xf>
    <xf numFmtId="3" fontId="52" fillId="3" borderId="117" xfId="0" applyNumberFormat="1" applyFont="1" applyFill="1" applyBorder="1" applyAlignment="1">
      <alignment horizontal="center" vertical="center"/>
    </xf>
    <xf numFmtId="3" fontId="52" fillId="3" borderId="118" xfId="0" applyNumberFormat="1" applyFont="1" applyFill="1" applyBorder="1" applyAlignment="1">
      <alignment horizontal="center" vertical="center"/>
    </xf>
    <xf numFmtId="3" fontId="51" fillId="3" borderId="115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3" fontId="0" fillId="0" borderId="0" xfId="0" applyNumberFormat="1"/>
    <xf numFmtId="3" fontId="43" fillId="0" borderId="28" xfId="0" applyNumberFormat="1" applyFont="1" applyBorder="1" applyAlignment="1">
      <alignment horizontal="center" vertical="center"/>
    </xf>
    <xf numFmtId="9" fontId="43" fillId="0" borderId="28" xfId="1" applyFont="1" applyBorder="1" applyAlignment="1">
      <alignment horizontal="center" vertical="center"/>
    </xf>
    <xf numFmtId="3" fontId="43" fillId="0" borderId="34" xfId="0" applyNumberFormat="1" applyFont="1" applyBorder="1" applyAlignment="1">
      <alignment horizontal="center" vertical="center"/>
    </xf>
    <xf numFmtId="3" fontId="43" fillId="2" borderId="28" xfId="0" applyNumberFormat="1" applyFont="1" applyFill="1" applyBorder="1" applyAlignment="1">
      <alignment horizontal="center" vertical="center"/>
    </xf>
    <xf numFmtId="9" fontId="43" fillId="2" borderId="28" xfId="1" applyFont="1" applyFill="1" applyBorder="1" applyAlignment="1">
      <alignment horizontal="center" vertical="center"/>
    </xf>
    <xf numFmtId="3" fontId="43" fillId="2" borderId="34" xfId="0" applyNumberFormat="1" applyFont="1" applyFill="1" applyBorder="1" applyAlignment="1">
      <alignment horizontal="center" vertical="center"/>
    </xf>
    <xf numFmtId="3" fontId="43" fillId="3" borderId="28" xfId="0" applyNumberFormat="1" applyFont="1" applyFill="1" applyBorder="1" applyAlignment="1">
      <alignment horizontal="center" vertical="center"/>
    </xf>
    <xf numFmtId="9" fontId="43" fillId="3" borderId="28" xfId="1" applyFont="1" applyFill="1" applyBorder="1" applyAlignment="1">
      <alignment horizontal="center" vertical="center"/>
    </xf>
    <xf numFmtId="3" fontId="43" fillId="3" borderId="34" xfId="0" applyNumberFormat="1" applyFont="1" applyFill="1" applyBorder="1" applyAlignment="1">
      <alignment horizontal="center" vertical="center"/>
    </xf>
    <xf numFmtId="3" fontId="43" fillId="2" borderId="40" xfId="0" applyNumberFormat="1" applyFont="1" applyFill="1" applyBorder="1" applyAlignment="1">
      <alignment horizontal="center" vertical="center"/>
    </xf>
    <xf numFmtId="9" fontId="43" fillId="2" borderId="40" xfId="1" applyFont="1" applyFill="1" applyBorder="1" applyAlignment="1">
      <alignment horizontal="center" vertical="center"/>
    </xf>
    <xf numFmtId="3" fontId="43" fillId="2" borderId="73" xfId="0" applyNumberFormat="1" applyFont="1" applyFill="1" applyBorder="1" applyAlignment="1">
      <alignment horizontal="center" vertical="center"/>
    </xf>
    <xf numFmtId="3" fontId="70" fillId="0" borderId="28" xfId="0" applyNumberFormat="1" applyFont="1" applyBorder="1" applyAlignment="1">
      <alignment horizontal="center" vertical="center"/>
    </xf>
    <xf numFmtId="9" fontId="70" fillId="0" borderId="28" xfId="1" applyFont="1" applyBorder="1" applyAlignment="1">
      <alignment horizontal="center" vertical="center"/>
    </xf>
    <xf numFmtId="3" fontId="70" fillId="0" borderId="34" xfId="0" applyNumberFormat="1" applyFont="1" applyBorder="1" applyAlignment="1">
      <alignment horizontal="center" vertical="center"/>
    </xf>
    <xf numFmtId="0" fontId="43" fillId="2" borderId="49" xfId="0" applyFont="1" applyFill="1" applyBorder="1" applyAlignment="1">
      <alignment horizontal="center" vertical="center"/>
    </xf>
    <xf numFmtId="3" fontId="43" fillId="0" borderId="34" xfId="1" applyNumberFormat="1" applyFont="1" applyBorder="1" applyAlignment="1">
      <alignment horizontal="center" vertical="center"/>
    </xf>
    <xf numFmtId="3" fontId="43" fillId="2" borderId="36" xfId="0" applyNumberFormat="1" applyFont="1" applyFill="1" applyBorder="1" applyAlignment="1">
      <alignment horizontal="center" vertical="center"/>
    </xf>
    <xf numFmtId="9" fontId="43" fillId="2" borderId="36" xfId="1" applyFont="1" applyFill="1" applyBorder="1" applyAlignment="1">
      <alignment horizontal="center" vertical="center"/>
    </xf>
    <xf numFmtId="3" fontId="43" fillId="2" borderId="3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3" fillId="0" borderId="2" xfId="0" applyNumberFormat="1" applyFont="1" applyBorder="1" applyAlignment="1">
      <alignment horizontal="center" vertical="center"/>
    </xf>
    <xf numFmtId="3" fontId="43" fillId="0" borderId="8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Alignment="1">
      <alignment horizontal="center"/>
    </xf>
    <xf numFmtId="0" fontId="14" fillId="3" borderId="28" xfId="0" applyFont="1" applyFill="1" applyBorder="1" applyAlignment="1">
      <alignment horizontal="center"/>
    </xf>
    <xf numFmtId="3" fontId="76" fillId="3" borderId="0" xfId="0" applyNumberFormat="1" applyFont="1" applyFill="1" applyAlignment="1">
      <alignment horizontal="center"/>
    </xf>
    <xf numFmtId="3" fontId="68" fillId="3" borderId="81" xfId="2" applyNumberFormat="1" applyFont="1" applyFill="1" applyBorder="1" applyAlignment="1" applyProtection="1">
      <alignment horizontal="left" vertical="center"/>
      <protection locked="0"/>
    </xf>
    <xf numFmtId="0" fontId="34" fillId="3" borderId="92" xfId="0" applyFont="1" applyFill="1" applyBorder="1" applyAlignment="1">
      <alignment horizontal="center" vertical="center"/>
    </xf>
    <xf numFmtId="0" fontId="34" fillId="3" borderId="100" xfId="0" applyFont="1" applyFill="1" applyBorder="1" applyAlignment="1">
      <alignment horizontal="center" vertical="center"/>
    </xf>
    <xf numFmtId="0" fontId="34" fillId="3" borderId="83" xfId="0" applyFont="1" applyFill="1" applyBorder="1" applyAlignment="1">
      <alignment horizontal="center" vertical="center"/>
    </xf>
    <xf numFmtId="0" fontId="34" fillId="3" borderId="8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 wrapText="1"/>
    </xf>
    <xf numFmtId="0" fontId="21" fillId="3" borderId="8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3" fontId="58" fillId="2" borderId="2" xfId="0" applyNumberFormat="1" applyFont="1" applyFill="1" applyBorder="1" applyAlignment="1">
      <alignment horizontal="center" vertical="center"/>
    </xf>
    <xf numFmtId="0" fontId="59" fillId="3" borderId="0" xfId="2" applyFont="1" applyFill="1" applyAlignment="1">
      <alignment horizontal="center" vertical="center"/>
    </xf>
    <xf numFmtId="3" fontId="56" fillId="3" borderId="0" xfId="2" applyNumberFormat="1" applyFont="1" applyFill="1" applyAlignment="1" applyProtection="1">
      <alignment horizontal="center" vertical="center"/>
      <protection locked="0"/>
    </xf>
    <xf numFmtId="3" fontId="56" fillId="3" borderId="0" xfId="2" applyNumberFormat="1" applyFont="1" applyFill="1" applyAlignment="1">
      <alignment horizontal="center" vertical="center"/>
    </xf>
    <xf numFmtId="167" fontId="56" fillId="3" borderId="0" xfId="1" applyNumberFormat="1" applyFont="1" applyFill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3" fontId="59" fillId="3" borderId="0" xfId="2" applyNumberFormat="1" applyFont="1" applyFill="1" applyAlignment="1">
      <alignment horizontal="center" vertical="center"/>
    </xf>
    <xf numFmtId="166" fontId="59" fillId="3" borderId="0" xfId="2" applyNumberFormat="1" applyFont="1" applyFill="1" applyAlignment="1">
      <alignment horizontal="center" vertical="center"/>
    </xf>
    <xf numFmtId="0" fontId="57" fillId="3" borderId="0" xfId="2" applyFont="1" applyFill="1" applyAlignment="1">
      <alignment horizontal="center" vertical="center"/>
    </xf>
    <xf numFmtId="0" fontId="58" fillId="7" borderId="2" xfId="0" applyFont="1" applyFill="1" applyBorder="1" applyAlignment="1">
      <alignment vertical="center"/>
    </xf>
    <xf numFmtId="0" fontId="58" fillId="7" borderId="22" xfId="0" applyFont="1" applyFill="1" applyBorder="1" applyAlignment="1">
      <alignment vertical="center"/>
    </xf>
    <xf numFmtId="0" fontId="58" fillId="7" borderId="2" xfId="0" applyFont="1" applyFill="1" applyBorder="1" applyAlignment="1">
      <alignment horizontal="center" vertical="center"/>
    </xf>
    <xf numFmtId="0" fontId="51" fillId="3" borderId="77" xfId="0" applyFont="1" applyFill="1" applyBorder="1" applyAlignment="1">
      <alignment horizontal="center"/>
    </xf>
    <xf numFmtId="3" fontId="14" fillId="0" borderId="2" xfId="0" applyNumberFormat="1" applyFont="1" applyBorder="1" applyAlignment="1">
      <alignment horizontal="center" vertical="center"/>
    </xf>
    <xf numFmtId="0" fontId="16" fillId="3" borderId="28" xfId="0" applyFont="1" applyFill="1" applyBorder="1" applyAlignment="1">
      <alignment horizontal="left" vertical="top"/>
    </xf>
    <xf numFmtId="0" fontId="3" fillId="0" borderId="28" xfId="0" applyFont="1" applyBorder="1"/>
    <xf numFmtId="0" fontId="16" fillId="0" borderId="28" xfId="0" applyFont="1" applyBorder="1" applyAlignment="1">
      <alignment horizontal="center" vertical="top"/>
    </xf>
    <xf numFmtId="3" fontId="16" fillId="0" borderId="28" xfId="0" quotePrefix="1" applyNumberFormat="1" applyFont="1" applyBorder="1" applyAlignment="1">
      <alignment horizontal="center" vertical="top"/>
    </xf>
    <xf numFmtId="3" fontId="16" fillId="0" borderId="28" xfId="0" applyNumberFormat="1" applyFont="1" applyBorder="1" applyAlignment="1">
      <alignment horizontal="center" vertical="top"/>
    </xf>
    <xf numFmtId="3" fontId="0" fillId="0" borderId="28" xfId="0" applyNumberFormat="1" applyBorder="1" applyAlignment="1">
      <alignment horizontal="center" vertical="top"/>
    </xf>
    <xf numFmtId="3" fontId="3" fillId="0" borderId="28" xfId="0" applyNumberFormat="1" applyFont="1" applyBorder="1" applyAlignment="1">
      <alignment horizontal="center"/>
    </xf>
    <xf numFmtId="10" fontId="16" fillId="0" borderId="28" xfId="1" applyNumberFormat="1" applyFont="1" applyBorder="1" applyAlignment="1">
      <alignment horizontal="center" vertical="top"/>
    </xf>
    <xf numFmtId="9" fontId="20" fillId="0" borderId="28" xfId="1" applyFont="1" applyBorder="1" applyAlignment="1">
      <alignment horizontal="center" vertical="top"/>
    </xf>
    <xf numFmtId="9" fontId="16" fillId="0" borderId="28" xfId="1" applyFont="1" applyBorder="1" applyAlignment="1">
      <alignment horizontal="center" vertical="top"/>
    </xf>
    <xf numFmtId="0" fontId="34" fillId="3" borderId="124" xfId="0" applyFont="1" applyFill="1" applyBorder="1" applyAlignment="1">
      <alignment horizontal="center" vertical="center"/>
    </xf>
    <xf numFmtId="3" fontId="34" fillId="3" borderId="102" xfId="0" applyNumberFormat="1" applyFont="1" applyFill="1" applyBorder="1" applyAlignment="1">
      <alignment horizontal="center" vertical="center"/>
    </xf>
    <xf numFmtId="0" fontId="34" fillId="3" borderId="102" xfId="0" applyFont="1" applyFill="1" applyBorder="1" applyAlignment="1">
      <alignment horizontal="center" vertical="center"/>
    </xf>
    <xf numFmtId="0" fontId="0" fillId="0" borderId="28" xfId="0" applyBorder="1"/>
    <xf numFmtId="0" fontId="20" fillId="3" borderId="28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top"/>
    </xf>
    <xf numFmtId="3" fontId="3" fillId="0" borderId="28" xfId="0" applyNumberFormat="1" applyFont="1" applyBorder="1"/>
    <xf numFmtId="9" fontId="3" fillId="0" borderId="28" xfId="1" applyFont="1" applyBorder="1"/>
    <xf numFmtId="3" fontId="34" fillId="3" borderId="125" xfId="0" applyNumberFormat="1" applyFont="1" applyFill="1" applyBorder="1" applyAlignment="1">
      <alignment horizontal="center" vertical="center"/>
    </xf>
    <xf numFmtId="0" fontId="16" fillId="0" borderId="28" xfId="0" applyFont="1" applyBorder="1"/>
    <xf numFmtId="10" fontId="16" fillId="0" borderId="28" xfId="1" applyNumberFormat="1" applyFont="1" applyBorder="1"/>
    <xf numFmtId="9" fontId="16" fillId="0" borderId="28" xfId="1" applyFont="1" applyBorder="1"/>
    <xf numFmtId="10" fontId="16" fillId="0" borderId="28" xfId="0" applyNumberFormat="1" applyFont="1" applyBorder="1"/>
    <xf numFmtId="0" fontId="57" fillId="0" borderId="15" xfId="2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10" fontId="19" fillId="0" borderId="129" xfId="1" applyNumberFormat="1" applyFont="1" applyBorder="1" applyAlignment="1">
      <alignment vertical="center"/>
    </xf>
    <xf numFmtId="10" fontId="19" fillId="0" borderId="0" xfId="1" applyNumberFormat="1" applyFont="1" applyBorder="1" applyAlignment="1">
      <alignment vertical="center"/>
    </xf>
    <xf numFmtId="0" fontId="33" fillId="3" borderId="39" xfId="2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07" fillId="2" borderId="135" xfId="0" applyFont="1" applyFill="1" applyBorder="1" applyAlignment="1">
      <alignment vertical="center"/>
    </xf>
    <xf numFmtId="3" fontId="14" fillId="0" borderId="136" xfId="0" applyNumberFormat="1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108" fillId="2" borderId="81" xfId="0" applyFont="1" applyFill="1" applyBorder="1" applyAlignment="1">
      <alignment horizontal="center" vertical="center"/>
    </xf>
    <xf numFmtId="0" fontId="105" fillId="0" borderId="21" xfId="0" applyFont="1" applyBorder="1"/>
    <xf numFmtId="0" fontId="141" fillId="0" borderId="145" xfId="0" applyFont="1" applyBorder="1"/>
    <xf numFmtId="0" fontId="3" fillId="0" borderId="154" xfId="0" applyFont="1" applyBorder="1" applyAlignment="1">
      <alignment horizontal="center" vertical="center" wrapText="1"/>
    </xf>
    <xf numFmtId="0" fontId="0" fillId="0" borderId="154" xfId="0" applyBorder="1" applyAlignment="1">
      <alignment wrapText="1"/>
    </xf>
    <xf numFmtId="3" fontId="0" fillId="2" borderId="154" xfId="0" applyNumberFormat="1" applyFill="1" applyBorder="1" applyAlignment="1">
      <alignment horizontal="center" wrapText="1"/>
    </xf>
    <xf numFmtId="3" fontId="0" fillId="0" borderId="154" xfId="0" applyNumberFormat="1" applyBorder="1" applyAlignment="1">
      <alignment horizontal="center" wrapText="1"/>
    </xf>
    <xf numFmtId="0" fontId="0" fillId="0" borderId="154" xfId="0" applyBorder="1" applyAlignment="1">
      <alignment horizontal="center" wrapText="1"/>
    </xf>
    <xf numFmtId="0" fontId="0" fillId="2" borderId="154" xfId="0" applyFill="1" applyBorder="1" applyAlignment="1">
      <alignment horizontal="center" wrapText="1"/>
    </xf>
    <xf numFmtId="3" fontId="3" fillId="0" borderId="154" xfId="0" applyNumberFormat="1" applyFont="1" applyBorder="1" applyAlignment="1">
      <alignment horizontal="left" wrapText="1"/>
    </xf>
    <xf numFmtId="3" fontId="3" fillId="0" borderId="15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1" fillId="0" borderId="155" xfId="0" applyFont="1" applyBorder="1" applyAlignment="1">
      <alignment wrapText="1"/>
    </xf>
    <xf numFmtId="0" fontId="3" fillId="0" borderId="154" xfId="0" applyFont="1" applyBorder="1" applyAlignment="1">
      <alignment horizontal="center" wrapText="1"/>
    </xf>
    <xf numFmtId="0" fontId="3" fillId="3" borderId="154" xfId="0" applyFont="1" applyFill="1" applyBorder="1" applyAlignment="1">
      <alignment wrapText="1"/>
    </xf>
    <xf numFmtId="3" fontId="3" fillId="2" borderId="154" xfId="0" applyNumberFormat="1" applyFont="1" applyFill="1" applyBorder="1" applyAlignment="1">
      <alignment horizontal="center" wrapText="1"/>
    </xf>
    <xf numFmtId="3" fontId="0" fillId="3" borderId="154" xfId="0" applyNumberFormat="1" applyFill="1" applyBorder="1" applyAlignment="1">
      <alignment horizontal="center" wrapText="1"/>
    </xf>
    <xf numFmtId="167" fontId="3" fillId="3" borderId="154" xfId="0" applyNumberFormat="1" applyFont="1" applyFill="1" applyBorder="1" applyAlignment="1">
      <alignment horizontal="center" wrapText="1"/>
    </xf>
    <xf numFmtId="0" fontId="3" fillId="2" borderId="154" xfId="0" applyFont="1" applyFill="1" applyBorder="1" applyAlignment="1">
      <alignment horizontal="center" wrapText="1"/>
    </xf>
    <xf numFmtId="0" fontId="0" fillId="3" borderId="154" xfId="0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50" xfId="0" applyFont="1" applyBorder="1" applyAlignment="1">
      <alignment horizontal="center" vertical="center" wrapText="1"/>
    </xf>
    <xf numFmtId="0" fontId="143" fillId="0" borderId="0" xfId="0" applyFont="1" applyAlignment="1">
      <alignment horizontal="justify" wrapText="1"/>
    </xf>
    <xf numFmtId="0" fontId="143" fillId="0" borderId="0" xfId="0" applyFont="1" applyAlignment="1">
      <alignment wrapText="1"/>
    </xf>
    <xf numFmtId="3" fontId="0" fillId="0" borderId="156" xfId="0" applyNumberFormat="1" applyBorder="1" applyAlignment="1">
      <alignment horizontal="center" vertical="center"/>
    </xf>
    <xf numFmtId="3" fontId="0" fillId="3" borderId="156" xfId="0" applyNumberFormat="1" applyFill="1" applyBorder="1" applyAlignment="1" applyProtection="1">
      <alignment horizontal="center" vertical="center"/>
      <protection locked="0"/>
    </xf>
    <xf numFmtId="0" fontId="146" fillId="0" borderId="158" xfId="0" applyFont="1" applyBorder="1" applyAlignment="1">
      <alignment horizontal="center" vertical="center"/>
    </xf>
    <xf numFmtId="0" fontId="146" fillId="3" borderId="0" xfId="0" applyFont="1" applyFill="1" applyAlignment="1">
      <alignment vertical="center"/>
    </xf>
    <xf numFmtId="0" fontId="146" fillId="0" borderId="0" xfId="0" applyFont="1" applyAlignment="1">
      <alignment horizontal="center" vertical="center"/>
    </xf>
    <xf numFmtId="0" fontId="146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 vertical="center"/>
    </xf>
    <xf numFmtId="0" fontId="43" fillId="4" borderId="28" xfId="0" applyFont="1" applyFill="1" applyBorder="1" applyAlignment="1">
      <alignment horizontal="center"/>
    </xf>
    <xf numFmtId="0" fontId="43" fillId="3" borderId="0" xfId="0" applyFont="1" applyFill="1" applyAlignment="1">
      <alignment horizontal="center"/>
    </xf>
    <xf numFmtId="0" fontId="148" fillId="0" borderId="159" xfId="0" applyFont="1" applyBorder="1" applyAlignment="1">
      <alignment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0" borderId="159" xfId="0" applyFont="1" applyBorder="1" applyAlignment="1">
      <alignment vertical="center"/>
    </xf>
    <xf numFmtId="1" fontId="14" fillId="0" borderId="28" xfId="0" applyNumberFormat="1" applyFont="1" applyBorder="1" applyAlignment="1" applyProtection="1">
      <alignment horizontal="center" vertical="center"/>
      <protection locked="0"/>
    </xf>
    <xf numFmtId="3" fontId="14" fillId="0" borderId="28" xfId="0" applyNumberFormat="1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2" fillId="2" borderId="159" xfId="0" applyFont="1" applyFill="1" applyBorder="1" applyAlignment="1">
      <alignment vertical="center"/>
    </xf>
    <xf numFmtId="2" fontId="14" fillId="2" borderId="28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1" fontId="14" fillId="2" borderId="28" xfId="0" applyNumberFormat="1" applyFont="1" applyFill="1" applyBorder="1" applyAlignment="1">
      <alignment horizontal="center" vertical="center"/>
    </xf>
    <xf numFmtId="0" fontId="55" fillId="3" borderId="28" xfId="0" applyFont="1" applyFill="1" applyBorder="1" applyAlignment="1">
      <alignment horizontal="center" vertical="center" textRotation="90"/>
    </xf>
    <xf numFmtId="0" fontId="12" fillId="3" borderId="159" xfId="0" applyFont="1" applyFill="1" applyBorder="1" applyAlignment="1">
      <alignment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43" fillId="3" borderId="28" xfId="0" applyFont="1" applyFill="1" applyBorder="1" applyAlignment="1">
      <alignment horizontal="center" vertical="center"/>
    </xf>
    <xf numFmtId="9" fontId="14" fillId="0" borderId="28" xfId="0" applyNumberFormat="1" applyFont="1" applyBorder="1" applyAlignment="1" applyProtection="1">
      <alignment horizontal="center" vertical="center"/>
      <protection locked="0"/>
    </xf>
    <xf numFmtId="9" fontId="14" fillId="0" borderId="28" xfId="1" applyFont="1" applyBorder="1" applyAlignment="1" applyProtection="1">
      <alignment horizontal="center" vertical="center"/>
      <protection locked="0"/>
    </xf>
    <xf numFmtId="0" fontId="148" fillId="3" borderId="159" xfId="0" applyFont="1" applyFill="1" applyBorder="1" applyAlignment="1">
      <alignment vertical="center"/>
    </xf>
    <xf numFmtId="2" fontId="14" fillId="0" borderId="28" xfId="0" applyNumberFormat="1" applyFont="1" applyBorder="1" applyAlignment="1" applyProtection="1">
      <alignment horizontal="center" vertical="center"/>
      <protection locked="0"/>
    </xf>
    <xf numFmtId="9" fontId="14" fillId="0" borderId="28" xfId="0" applyNumberFormat="1" applyFont="1" applyBorder="1" applyAlignment="1">
      <alignment horizontal="center" vertical="center"/>
    </xf>
    <xf numFmtId="9" fontId="14" fillId="3" borderId="0" xfId="0" applyNumberFormat="1" applyFont="1" applyFill="1" applyAlignment="1">
      <alignment horizontal="center" vertical="center"/>
    </xf>
    <xf numFmtId="0" fontId="0" fillId="3" borderId="0" xfId="0" quotePrefix="1" applyFill="1"/>
    <xf numFmtId="0" fontId="12" fillId="3" borderId="28" xfId="0" applyFont="1" applyFill="1" applyBorder="1" applyAlignment="1">
      <alignment vertical="center"/>
    </xf>
    <xf numFmtId="0" fontId="148" fillId="3" borderId="28" xfId="0" applyFont="1" applyFill="1" applyBorder="1" applyAlignment="1">
      <alignment vertical="center"/>
    </xf>
    <xf numFmtId="3" fontId="0" fillId="0" borderId="156" xfId="0" applyNumberFormat="1" applyBorder="1" applyAlignment="1" applyProtection="1">
      <alignment horizontal="center" vertical="center"/>
      <protection locked="0"/>
    </xf>
    <xf numFmtId="0" fontId="21" fillId="0" borderId="81" xfId="0" applyFont="1" applyBorder="1" applyAlignment="1">
      <alignment horizontal="center"/>
    </xf>
    <xf numFmtId="0" fontId="149" fillId="32" borderId="143" xfId="0" applyFont="1" applyFill="1" applyBorder="1" applyAlignment="1">
      <alignment horizontal="center" vertical="center"/>
    </xf>
    <xf numFmtId="0" fontId="149" fillId="32" borderId="81" xfId="2" applyFont="1" applyFill="1" applyBorder="1" applyAlignment="1">
      <alignment horizontal="center" vertical="center"/>
    </xf>
    <xf numFmtId="3" fontId="150" fillId="32" borderId="143" xfId="0" applyNumberFormat="1" applyFont="1" applyFill="1" applyBorder="1" applyAlignment="1">
      <alignment horizontal="center" vertical="center"/>
    </xf>
    <xf numFmtId="9" fontId="21" fillId="0" borderId="143" xfId="1" applyFont="1" applyBorder="1" applyAlignment="1">
      <alignment horizontal="center"/>
    </xf>
    <xf numFmtId="1" fontId="21" fillId="0" borderId="81" xfId="0" applyNumberFormat="1" applyFont="1" applyBorder="1" applyAlignment="1">
      <alignment horizontal="center"/>
    </xf>
    <xf numFmtId="0" fontId="149" fillId="32" borderId="92" xfId="2" applyFont="1" applyFill="1" applyBorder="1" applyAlignment="1">
      <alignment horizontal="center" vertical="center"/>
    </xf>
    <xf numFmtId="3" fontId="150" fillId="32" borderId="161" xfId="0" applyNumberFormat="1" applyFont="1" applyFill="1" applyBorder="1" applyAlignment="1">
      <alignment horizontal="center" vertical="center"/>
    </xf>
    <xf numFmtId="1" fontId="21" fillId="0" borderId="92" xfId="0" applyNumberFormat="1" applyFont="1" applyBorder="1" applyAlignment="1">
      <alignment horizontal="center"/>
    </xf>
    <xf numFmtId="3" fontId="150" fillId="32" borderId="81" xfId="0" applyNumberFormat="1" applyFont="1" applyFill="1" applyBorder="1" applyAlignment="1">
      <alignment horizontal="center" vertical="center"/>
    </xf>
    <xf numFmtId="0" fontId="149" fillId="32" borderId="92" xfId="0" applyFont="1" applyFill="1" applyBorder="1" applyAlignment="1">
      <alignment horizontal="center" vertical="center"/>
    </xf>
    <xf numFmtId="3" fontId="149" fillId="32" borderId="161" xfId="0" applyNumberFormat="1" applyFont="1" applyFill="1" applyBorder="1" applyAlignment="1" applyProtection="1">
      <alignment horizontal="center" vertical="center"/>
      <protection locked="0"/>
    </xf>
    <xf numFmtId="0" fontId="21" fillId="0" borderId="92" xfId="0" applyFont="1" applyBorder="1" applyAlignment="1">
      <alignment horizontal="center"/>
    </xf>
    <xf numFmtId="0" fontId="68" fillId="0" borderId="81" xfId="0" applyFont="1" applyBorder="1" applyAlignment="1">
      <alignment horizontal="center"/>
    </xf>
    <xf numFmtId="0" fontId="21" fillId="0" borderId="143" xfId="0" applyFont="1" applyBorder="1" applyAlignment="1">
      <alignment horizontal="center" vertical="center"/>
    </xf>
    <xf numFmtId="0" fontId="0" fillId="0" borderId="162" xfId="0" applyBorder="1" applyAlignment="1">
      <alignment horizontal="center"/>
    </xf>
    <xf numFmtId="0" fontId="21" fillId="0" borderId="143" xfId="0" applyFont="1" applyBorder="1" applyAlignment="1">
      <alignment horizontal="center"/>
    </xf>
    <xf numFmtId="0" fontId="149" fillId="32" borderId="143" xfId="2" applyFont="1" applyFill="1" applyBorder="1" applyAlignment="1">
      <alignment horizontal="center" vertical="center"/>
    </xf>
    <xf numFmtId="0" fontId="149" fillId="32" borderId="161" xfId="2" applyFont="1" applyFill="1" applyBorder="1" applyAlignment="1">
      <alignment horizontal="center" vertical="center"/>
    </xf>
    <xf numFmtId="0" fontId="149" fillId="32" borderId="161" xfId="0" applyFont="1" applyFill="1" applyBorder="1" applyAlignment="1">
      <alignment horizontal="center" vertical="center"/>
    </xf>
    <xf numFmtId="0" fontId="108" fillId="2" borderId="143" xfId="0" applyFont="1" applyFill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167" xfId="0" applyNumberFormat="1" applyBorder="1" applyAlignment="1">
      <alignment horizontal="center" vertical="center"/>
    </xf>
    <xf numFmtId="0" fontId="0" fillId="0" borderId="168" xfId="0" applyBorder="1"/>
    <xf numFmtId="3" fontId="0" fillId="0" borderId="85" xfId="0" applyNumberFormat="1" applyBorder="1" applyAlignment="1">
      <alignment horizontal="center" vertical="center"/>
    </xf>
    <xf numFmtId="3" fontId="3" fillId="4" borderId="169" xfId="0" applyNumberFormat="1" applyFont="1" applyFill="1" applyBorder="1" applyAlignment="1">
      <alignment horizontal="center" vertical="center"/>
    </xf>
    <xf numFmtId="0" fontId="0" fillId="0" borderId="167" xfId="0" applyBorder="1"/>
    <xf numFmtId="0" fontId="0" fillId="0" borderId="167" xfId="0" applyBorder="1" applyAlignment="1">
      <alignment horizontal="center"/>
    </xf>
    <xf numFmtId="0" fontId="0" fillId="0" borderId="142" xfId="0" applyBorder="1"/>
    <xf numFmtId="0" fontId="68" fillId="0" borderId="92" xfId="0" applyFont="1" applyBorder="1" applyAlignment="1">
      <alignment horizontal="center"/>
    </xf>
    <xf numFmtId="0" fontId="0" fillId="0" borderId="105" xfId="0" applyBorder="1"/>
    <xf numFmtId="3" fontId="3" fillId="4" borderId="41" xfId="0" applyNumberFormat="1" applyFont="1" applyFill="1" applyBorder="1" applyAlignment="1">
      <alignment horizontal="center"/>
    </xf>
    <xf numFmtId="3" fontId="3" fillId="4" borderId="171" xfId="0" applyNumberFormat="1" applyFont="1" applyFill="1" applyBorder="1" applyAlignment="1">
      <alignment horizontal="center"/>
    </xf>
    <xf numFmtId="3" fontId="3" fillId="4" borderId="170" xfId="0" applyNumberFormat="1" applyFont="1" applyFill="1" applyBorder="1" applyAlignment="1">
      <alignment horizontal="center"/>
    </xf>
    <xf numFmtId="3" fontId="3" fillId="4" borderId="46" xfId="0" applyNumberFormat="1" applyFont="1" applyFill="1" applyBorder="1" applyAlignment="1">
      <alignment horizontal="center"/>
    </xf>
    <xf numFmtId="3" fontId="3" fillId="4" borderId="47" xfId="0" applyNumberFormat="1" applyFont="1" applyFill="1" applyBorder="1" applyAlignment="1">
      <alignment horizontal="center"/>
    </xf>
    <xf numFmtId="3" fontId="3" fillId="4" borderId="48" xfId="0" applyNumberFormat="1" applyFont="1" applyFill="1" applyBorder="1" applyAlignment="1">
      <alignment horizontal="center"/>
    </xf>
    <xf numFmtId="9" fontId="3" fillId="4" borderId="170" xfId="0" applyNumberFormat="1" applyFont="1" applyFill="1" applyBorder="1" applyAlignment="1">
      <alignment horizontal="center"/>
    </xf>
    <xf numFmtId="0" fontId="0" fillId="3" borderId="128" xfId="0" applyFill="1" applyBorder="1"/>
    <xf numFmtId="0" fontId="0" fillId="3" borderId="170" xfId="0" applyFill="1" applyBorder="1" applyAlignment="1">
      <alignment horizontal="center"/>
    </xf>
    <xf numFmtId="0" fontId="12" fillId="3" borderId="128" xfId="0" applyFont="1" applyFill="1" applyBorder="1"/>
    <xf numFmtId="0" fontId="12" fillId="3" borderId="170" xfId="0" applyFont="1" applyFill="1" applyBorder="1" applyAlignment="1">
      <alignment horizontal="center"/>
    </xf>
    <xf numFmtId="9" fontId="3" fillId="4" borderId="170" xfId="1" applyFont="1" applyFill="1" applyBorder="1" applyAlignment="1">
      <alignment horizontal="center"/>
    </xf>
    <xf numFmtId="0" fontId="0" fillId="3" borderId="172" xfId="0" applyFill="1" applyBorder="1" applyAlignment="1">
      <alignment horizontal="center"/>
    </xf>
    <xf numFmtId="0" fontId="21" fillId="34" borderId="92" xfId="0" applyFont="1" applyFill="1" applyBorder="1" applyAlignment="1">
      <alignment horizontal="center"/>
    </xf>
    <xf numFmtId="0" fontId="20" fillId="34" borderId="92" xfId="0" applyFont="1" applyFill="1" applyBorder="1" applyAlignment="1">
      <alignment horizontal="center"/>
    </xf>
    <xf numFmtId="3" fontId="153" fillId="32" borderId="143" xfId="0" applyNumberFormat="1" applyFont="1" applyFill="1" applyBorder="1" applyAlignment="1">
      <alignment horizontal="center" vertical="center"/>
    </xf>
    <xf numFmtId="3" fontId="153" fillId="32" borderId="161" xfId="0" applyNumberFormat="1" applyFont="1" applyFill="1" applyBorder="1" applyAlignment="1">
      <alignment horizontal="center" vertical="center"/>
    </xf>
    <xf numFmtId="3" fontId="153" fillId="32" borderId="81" xfId="0" applyNumberFormat="1" applyFont="1" applyFill="1" applyBorder="1" applyAlignment="1">
      <alignment horizontal="center" vertical="center"/>
    </xf>
    <xf numFmtId="3" fontId="153" fillId="32" borderId="161" xfId="0" applyNumberFormat="1" applyFont="1" applyFill="1" applyBorder="1" applyAlignment="1" applyProtection="1">
      <alignment horizontal="center" vertical="center"/>
      <protection locked="0"/>
    </xf>
    <xf numFmtId="3" fontId="150" fillId="35" borderId="143" xfId="0" applyNumberFormat="1" applyFont="1" applyFill="1" applyBorder="1" applyAlignment="1">
      <alignment horizontal="center" vertical="center"/>
    </xf>
    <xf numFmtId="3" fontId="150" fillId="35" borderId="161" xfId="0" applyNumberFormat="1" applyFont="1" applyFill="1" applyBorder="1" applyAlignment="1">
      <alignment horizontal="center" vertical="center"/>
    </xf>
    <xf numFmtId="3" fontId="150" fillId="35" borderId="81" xfId="0" applyNumberFormat="1" applyFont="1" applyFill="1" applyBorder="1" applyAlignment="1">
      <alignment horizontal="center" vertical="center"/>
    </xf>
    <xf numFmtId="170" fontId="14" fillId="0" borderId="2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58" fillId="7" borderId="79" xfId="0" applyFont="1" applyFill="1" applyBorder="1" applyAlignment="1">
      <alignment horizontal="center" vertical="center"/>
    </xf>
    <xf numFmtId="0" fontId="58" fillId="7" borderId="20" xfId="0" applyFont="1" applyFill="1" applyBorder="1" applyAlignment="1">
      <alignment horizontal="center" vertical="center"/>
    </xf>
    <xf numFmtId="3" fontId="59" fillId="11" borderId="79" xfId="2" applyNumberFormat="1" applyFont="1" applyFill="1" applyBorder="1" applyAlignment="1">
      <alignment horizontal="center" vertical="center"/>
    </xf>
    <xf numFmtId="3" fontId="59" fillId="11" borderId="15" xfId="2" applyNumberFormat="1" applyFont="1" applyFill="1" applyBorder="1" applyAlignment="1">
      <alignment horizontal="center" vertical="center"/>
    </xf>
    <xf numFmtId="3" fontId="59" fillId="11" borderId="20" xfId="2" applyNumberFormat="1" applyFont="1" applyFill="1" applyBorder="1" applyAlignment="1">
      <alignment horizontal="center" vertical="center"/>
    </xf>
    <xf numFmtId="3" fontId="59" fillId="12" borderId="79" xfId="2" applyNumberFormat="1" applyFont="1" applyFill="1" applyBorder="1" applyAlignment="1">
      <alignment horizontal="center" vertical="center"/>
    </xf>
    <xf numFmtId="3" fontId="59" fillId="12" borderId="20" xfId="2" applyNumberFormat="1" applyFont="1" applyFill="1" applyBorder="1" applyAlignment="1">
      <alignment horizontal="center" vertical="center"/>
    </xf>
    <xf numFmtId="3" fontId="56" fillId="0" borderId="79" xfId="2" applyNumberFormat="1" applyFont="1" applyBorder="1" applyAlignment="1">
      <alignment horizontal="center" vertical="center"/>
    </xf>
    <xf numFmtId="3" fontId="56" fillId="0" borderId="15" xfId="2" applyNumberFormat="1" applyFont="1" applyBorder="1" applyAlignment="1">
      <alignment horizontal="center" vertical="center"/>
    </xf>
    <xf numFmtId="3" fontId="56" fillId="0" borderId="20" xfId="2" applyNumberFormat="1" applyFont="1" applyBorder="1" applyAlignment="1">
      <alignment horizontal="center" vertical="center"/>
    </xf>
    <xf numFmtId="0" fontId="58" fillId="7" borderId="15" xfId="0" applyFont="1" applyFill="1" applyBorder="1" applyAlignment="1">
      <alignment horizontal="center" vertical="center"/>
    </xf>
    <xf numFmtId="3" fontId="56" fillId="0" borderId="79" xfId="2" applyNumberFormat="1" applyFont="1" applyBorder="1" applyAlignment="1" applyProtection="1">
      <alignment horizontal="center" vertical="center"/>
      <protection locked="0"/>
    </xf>
    <xf numFmtId="3" fontId="56" fillId="0" borderId="15" xfId="2" applyNumberFormat="1" applyFont="1" applyBorder="1" applyAlignment="1" applyProtection="1">
      <alignment horizontal="center" vertical="center"/>
      <protection locked="0"/>
    </xf>
    <xf numFmtId="3" fontId="56" fillId="0" borderId="20" xfId="2" applyNumberFormat="1" applyFont="1" applyBorder="1" applyAlignment="1" applyProtection="1">
      <alignment horizontal="center" vertical="center"/>
      <protection locked="0"/>
    </xf>
    <xf numFmtId="1" fontId="44" fillId="0" borderId="47" xfId="0" applyNumberFormat="1" applyFont="1" applyBorder="1" applyAlignment="1">
      <alignment horizontal="center" vertical="center"/>
    </xf>
    <xf numFmtId="1" fontId="44" fillId="0" borderId="48" xfId="0" applyNumberFormat="1" applyFont="1" applyBorder="1" applyAlignment="1">
      <alignment horizontal="center" vertical="center"/>
    </xf>
    <xf numFmtId="0" fontId="59" fillId="9" borderId="79" xfId="2" applyFont="1" applyFill="1" applyBorder="1" applyAlignment="1">
      <alignment horizontal="center"/>
    </xf>
    <xf numFmtId="0" fontId="59" fillId="9" borderId="20" xfId="2" applyFont="1" applyFill="1" applyBorder="1" applyAlignment="1">
      <alignment horizontal="center"/>
    </xf>
    <xf numFmtId="0" fontId="56" fillId="3" borderId="79" xfId="2" applyFont="1" applyFill="1" applyBorder="1" applyAlignment="1">
      <alignment horizontal="center" vertical="center"/>
    </xf>
    <xf numFmtId="0" fontId="56" fillId="3" borderId="15" xfId="2" applyFont="1" applyFill="1" applyBorder="1" applyAlignment="1">
      <alignment horizontal="center" vertical="center"/>
    </xf>
    <xf numFmtId="0" fontId="56" fillId="3" borderId="20" xfId="2" applyFont="1" applyFill="1" applyBorder="1" applyAlignment="1">
      <alignment horizontal="center" vertical="center"/>
    </xf>
    <xf numFmtId="0" fontId="59" fillId="9" borderId="15" xfId="2" applyFont="1" applyFill="1" applyBorder="1" applyAlignment="1">
      <alignment horizontal="center"/>
    </xf>
    <xf numFmtId="0" fontId="57" fillId="0" borderId="79" xfId="2" applyFont="1" applyBorder="1" applyAlignment="1">
      <alignment horizontal="center" vertical="center"/>
    </xf>
    <xf numFmtId="0" fontId="57" fillId="0" borderId="15" xfId="2" applyFont="1" applyBorder="1" applyAlignment="1">
      <alignment horizontal="center" vertical="center"/>
    </xf>
    <xf numFmtId="0" fontId="57" fillId="0" borderId="20" xfId="2" applyFont="1" applyBorder="1" applyAlignment="1">
      <alignment horizontal="center" vertical="center"/>
    </xf>
    <xf numFmtId="0" fontId="58" fillId="7" borderId="22" xfId="0" applyFont="1" applyFill="1" applyBorder="1" applyAlignment="1">
      <alignment horizontal="center" vertical="center"/>
    </xf>
    <xf numFmtId="0" fontId="58" fillId="7" borderId="25" xfId="0" applyFont="1" applyFill="1" applyBorder="1" applyAlignment="1">
      <alignment horizontal="center" vertical="center"/>
    </xf>
    <xf numFmtId="3" fontId="56" fillId="2" borderId="24" xfId="2" applyNumberFormat="1" applyFont="1" applyFill="1" applyBorder="1" applyAlignment="1">
      <alignment horizontal="center" vertical="center"/>
    </xf>
    <xf numFmtId="3" fontId="56" fillId="2" borderId="0" xfId="2" applyNumberFormat="1" applyFont="1" applyFill="1" applyAlignment="1">
      <alignment horizontal="center" vertical="center"/>
    </xf>
    <xf numFmtId="1" fontId="44" fillId="0" borderId="46" xfId="0" applyNumberFormat="1" applyFont="1" applyBorder="1" applyAlignment="1">
      <alignment horizontal="center" vertical="center"/>
    </xf>
    <xf numFmtId="3" fontId="60" fillId="2" borderId="23" xfId="2" applyNumberFormat="1" applyFont="1" applyFill="1" applyBorder="1" applyAlignment="1">
      <alignment horizontal="center" vertical="center"/>
    </xf>
    <xf numFmtId="3" fontId="60" fillId="2" borderId="80" xfId="2" applyNumberFormat="1" applyFont="1" applyFill="1" applyBorder="1" applyAlignment="1">
      <alignment horizontal="center" vertical="center"/>
    </xf>
    <xf numFmtId="3" fontId="60" fillId="2" borderId="26" xfId="2" applyNumberFormat="1" applyFont="1" applyFill="1" applyBorder="1" applyAlignment="1">
      <alignment horizontal="center" vertical="center"/>
    </xf>
    <xf numFmtId="3" fontId="56" fillId="0" borderId="14" xfId="2" applyNumberFormat="1" applyFont="1" applyBorder="1" applyAlignment="1">
      <alignment horizontal="center" vertical="center"/>
    </xf>
    <xf numFmtId="3" fontId="56" fillId="0" borderId="16" xfId="2" applyNumberFormat="1" applyFont="1" applyBorder="1" applyAlignment="1">
      <alignment horizontal="center" vertical="center"/>
    </xf>
    <xf numFmtId="3" fontId="56" fillId="0" borderId="14" xfId="2" applyNumberFormat="1" applyFont="1" applyBorder="1" applyAlignment="1" applyProtection="1">
      <alignment horizontal="center" vertical="center"/>
      <protection locked="0"/>
    </xf>
    <xf numFmtId="3" fontId="56" fillId="2" borderId="22" xfId="2" applyNumberFormat="1" applyFont="1" applyFill="1" applyBorder="1" applyAlignment="1" applyProtection="1">
      <alignment horizontal="center" vertical="center"/>
      <protection locked="0"/>
    </xf>
    <xf numFmtId="3" fontId="56" fillId="2" borderId="78" xfId="2" applyNumberFormat="1" applyFont="1" applyFill="1" applyBorder="1" applyAlignment="1" applyProtection="1">
      <alignment horizontal="center" vertical="center"/>
      <protection locked="0"/>
    </xf>
    <xf numFmtId="3" fontId="56" fillId="2" borderId="25" xfId="2" applyNumberFormat="1" applyFont="1" applyFill="1" applyBorder="1" applyAlignment="1" applyProtection="1">
      <alignment horizontal="center" vertical="center"/>
      <protection locked="0"/>
    </xf>
    <xf numFmtId="3" fontId="60" fillId="0" borderId="79" xfId="2" applyNumberFormat="1" applyFont="1" applyBorder="1" applyAlignment="1">
      <alignment horizontal="center" vertical="center"/>
    </xf>
    <xf numFmtId="3" fontId="60" fillId="0" borderId="15" xfId="2" applyNumberFormat="1" applyFont="1" applyBorder="1" applyAlignment="1">
      <alignment horizontal="center" vertical="center"/>
    </xf>
    <xf numFmtId="3" fontId="60" fillId="0" borderId="20" xfId="2" applyNumberFormat="1" applyFont="1" applyBorder="1" applyAlignment="1">
      <alignment horizontal="center" vertical="center"/>
    </xf>
    <xf numFmtId="3" fontId="56" fillId="2" borderId="23" xfId="2" applyNumberFormat="1" applyFont="1" applyFill="1" applyBorder="1" applyAlignment="1">
      <alignment horizontal="center" vertical="center"/>
    </xf>
    <xf numFmtId="3" fontId="56" fillId="2" borderId="80" xfId="2" applyNumberFormat="1" applyFont="1" applyFill="1" applyBorder="1" applyAlignment="1">
      <alignment horizontal="center" vertical="center"/>
    </xf>
    <xf numFmtId="3" fontId="56" fillId="2" borderId="26" xfId="2" applyNumberFormat="1" applyFont="1" applyFill="1" applyBorder="1" applyAlignment="1">
      <alignment horizontal="center" vertical="center"/>
    </xf>
    <xf numFmtId="0" fontId="104" fillId="6" borderId="127" xfId="0" applyFont="1" applyFill="1" applyBorder="1" applyAlignment="1">
      <alignment horizontal="center" vertical="center"/>
    </xf>
    <xf numFmtId="0" fontId="104" fillId="6" borderId="128" xfId="0" applyFont="1" applyFill="1" applyBorder="1" applyAlignment="1">
      <alignment horizontal="center" vertical="center"/>
    </xf>
    <xf numFmtId="0" fontId="104" fillId="6" borderId="120" xfId="0" applyFont="1" applyFill="1" applyBorder="1" applyAlignment="1">
      <alignment horizontal="center" vertical="center"/>
    </xf>
    <xf numFmtId="0" fontId="104" fillId="6" borderId="121" xfId="0" applyFont="1" applyFill="1" applyBorder="1" applyAlignment="1">
      <alignment horizontal="center" vertical="center"/>
    </xf>
    <xf numFmtId="3" fontId="3" fillId="4" borderId="46" xfId="0" applyNumberFormat="1" applyFont="1" applyFill="1" applyBorder="1" applyAlignment="1">
      <alignment horizontal="center"/>
    </xf>
    <xf numFmtId="3" fontId="3" fillId="4" borderId="48" xfId="0" applyNumberFormat="1" applyFont="1" applyFill="1" applyBorder="1" applyAlignment="1">
      <alignment horizontal="center"/>
    </xf>
    <xf numFmtId="0" fontId="20" fillId="3" borderId="41" xfId="2" applyFont="1" applyFill="1" applyBorder="1" applyAlignment="1">
      <alignment horizontal="center" vertical="center"/>
    </xf>
    <xf numFmtId="0" fontId="20" fillId="3" borderId="75" xfId="2" applyFont="1" applyFill="1" applyBorder="1" applyAlignment="1">
      <alignment horizontal="center" vertical="center"/>
    </xf>
    <xf numFmtId="0" fontId="20" fillId="3" borderId="42" xfId="2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/>
    </xf>
    <xf numFmtId="0" fontId="3" fillId="3" borderId="75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12" fillId="3" borderId="128" xfId="0" applyFont="1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15" fillId="3" borderId="0" xfId="2" applyFont="1" applyFill="1" applyAlignment="1">
      <alignment horizontal="center" vertical="center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106" fillId="3" borderId="128" xfId="0" applyFont="1" applyFill="1" applyBorder="1" applyAlignment="1">
      <alignment horizontal="left"/>
    </xf>
    <xf numFmtId="0" fontId="21" fillId="3" borderId="128" xfId="0" applyFont="1" applyFill="1" applyBorder="1" applyAlignment="1">
      <alignment horizontal="left"/>
    </xf>
    <xf numFmtId="3" fontId="3" fillId="4" borderId="45" xfId="0" applyNumberFormat="1" applyFont="1" applyFill="1" applyBorder="1" applyAlignment="1">
      <alignment horizontal="center"/>
    </xf>
    <xf numFmtId="3" fontId="3" fillId="4" borderId="38" xfId="0" applyNumberFormat="1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149" fillId="32" borderId="142" xfId="0" applyFont="1" applyFill="1" applyBorder="1" applyAlignment="1">
      <alignment horizontal="center" vertical="center"/>
    </xf>
    <xf numFmtId="0" fontId="149" fillId="32" borderId="143" xfId="0" applyFont="1" applyFill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" vertical="center"/>
    </xf>
    <xf numFmtId="0" fontId="21" fillId="0" borderId="143" xfId="0" applyFont="1" applyBorder="1" applyAlignment="1">
      <alignment horizontal="center" vertical="center"/>
    </xf>
    <xf numFmtId="0" fontId="149" fillId="32" borderId="102" xfId="0" applyFont="1" applyFill="1" applyBorder="1" applyAlignment="1">
      <alignment horizontal="center" vertical="center"/>
    </xf>
    <xf numFmtId="0" fontId="34" fillId="3" borderId="106" xfId="0" applyFont="1" applyFill="1" applyBorder="1" applyAlignment="1">
      <alignment horizontal="center"/>
    </xf>
    <xf numFmtId="0" fontId="34" fillId="3" borderId="107" xfId="0" applyFont="1" applyFill="1" applyBorder="1" applyAlignment="1">
      <alignment horizontal="center"/>
    </xf>
    <xf numFmtId="0" fontId="151" fillId="0" borderId="164" xfId="0" applyFont="1" applyBorder="1" applyAlignment="1">
      <alignment horizontal="center" vertical="center" wrapText="1"/>
    </xf>
    <xf numFmtId="0" fontId="151" fillId="0" borderId="164" xfId="0" applyFont="1" applyBorder="1" applyAlignment="1">
      <alignment horizontal="center" vertical="center"/>
    </xf>
    <xf numFmtId="0" fontId="151" fillId="0" borderId="165" xfId="0" applyFont="1" applyBorder="1" applyAlignment="1">
      <alignment horizontal="center" vertical="center"/>
    </xf>
    <xf numFmtId="0" fontId="21" fillId="0" borderId="160" xfId="0" applyFont="1" applyBorder="1" applyAlignment="1">
      <alignment horizontal="center" vertical="center"/>
    </xf>
    <xf numFmtId="0" fontId="21" fillId="0" borderId="161" xfId="0" applyFont="1" applyBorder="1" applyAlignment="1">
      <alignment horizontal="center" vertical="center"/>
    </xf>
    <xf numFmtId="0" fontId="152" fillId="0" borderId="163" xfId="0" applyFont="1" applyBorder="1" applyAlignment="1">
      <alignment horizontal="center" wrapText="1"/>
    </xf>
    <xf numFmtId="0" fontId="152" fillId="0" borderId="166" xfId="0" applyFont="1" applyBorder="1" applyAlignment="1">
      <alignment horizontal="center"/>
    </xf>
    <xf numFmtId="0" fontId="152" fillId="0" borderId="164" xfId="0" applyFont="1" applyBorder="1" applyAlignment="1">
      <alignment horizontal="center"/>
    </xf>
    <xf numFmtId="0" fontId="152" fillId="0" borderId="165" xfId="0" applyFont="1" applyBorder="1" applyAlignment="1">
      <alignment horizontal="center"/>
    </xf>
    <xf numFmtId="0" fontId="34" fillId="0" borderId="106" xfId="0" applyFont="1" applyBorder="1" applyAlignment="1">
      <alignment horizontal="center"/>
    </xf>
    <xf numFmtId="0" fontId="34" fillId="0" borderId="107" xfId="0" applyFont="1" applyBorder="1" applyAlignment="1">
      <alignment horizontal="center"/>
    </xf>
    <xf numFmtId="0" fontId="34" fillId="2" borderId="142" xfId="0" applyFont="1" applyFill="1" applyBorder="1" applyAlignment="1">
      <alignment horizontal="center" vertical="center"/>
    </xf>
    <xf numFmtId="0" fontId="34" fillId="2" borderId="14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8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54" fillId="0" borderId="130" xfId="0" applyFont="1" applyBorder="1" applyAlignment="1">
      <alignment horizontal="center"/>
    </xf>
    <xf numFmtId="0" fontId="54" fillId="0" borderId="131" xfId="0" applyFont="1" applyBorder="1" applyAlignment="1">
      <alignment horizontal="center"/>
    </xf>
    <xf numFmtId="3" fontId="105" fillId="0" borderId="79" xfId="0" applyNumberFormat="1" applyFont="1" applyBorder="1" applyAlignment="1" applyProtection="1">
      <alignment horizontal="left" vertical="center"/>
      <protection locked="0"/>
    </xf>
    <xf numFmtId="3" fontId="105" fillId="0" borderId="15" xfId="0" applyNumberFormat="1" applyFont="1" applyBorder="1" applyAlignment="1" applyProtection="1">
      <alignment horizontal="left" vertical="center"/>
      <protection locked="0"/>
    </xf>
    <xf numFmtId="3" fontId="105" fillId="0" borderId="20" xfId="0" applyNumberFormat="1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4" fillId="33" borderId="106" xfId="0" applyFont="1" applyFill="1" applyBorder="1" applyAlignment="1">
      <alignment horizontal="center"/>
    </xf>
    <xf numFmtId="0" fontId="34" fillId="33" borderId="107" xfId="0" applyFont="1" applyFill="1" applyBorder="1" applyAlignment="1">
      <alignment horizontal="center"/>
    </xf>
    <xf numFmtId="0" fontId="43" fillId="2" borderId="50" xfId="0" applyFont="1" applyFill="1" applyBorder="1" applyAlignment="1">
      <alignment horizontal="center" vertical="center"/>
    </xf>
    <xf numFmtId="0" fontId="43" fillId="2" borderId="43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43" fillId="2" borderId="64" xfId="0" applyFont="1" applyFill="1" applyBorder="1" applyAlignment="1">
      <alignment horizontal="center" vertical="center"/>
    </xf>
    <xf numFmtId="0" fontId="43" fillId="2" borderId="70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3" borderId="4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26" xfId="0" applyFont="1" applyBorder="1" applyAlignment="1">
      <alignment horizontal="center"/>
    </xf>
    <xf numFmtId="0" fontId="52" fillId="3" borderId="109" xfId="0" applyFont="1" applyFill="1" applyBorder="1" applyAlignment="1">
      <alignment horizontal="center" vertical="center"/>
    </xf>
    <xf numFmtId="0" fontId="52" fillId="3" borderId="110" xfId="0" applyFont="1" applyFill="1" applyBorder="1" applyAlignment="1">
      <alignment horizontal="center" vertical="center"/>
    </xf>
    <xf numFmtId="0" fontId="52" fillId="3" borderId="111" xfId="0" applyFont="1" applyFill="1" applyBorder="1" applyAlignment="1">
      <alignment horizontal="center" vertical="center"/>
    </xf>
    <xf numFmtId="3" fontId="52" fillId="3" borderId="112" xfId="0" applyNumberFormat="1" applyFont="1" applyFill="1" applyBorder="1" applyAlignment="1">
      <alignment horizontal="center" vertical="center"/>
    </xf>
    <xf numFmtId="3" fontId="52" fillId="3" borderId="108" xfId="0" applyNumberFormat="1" applyFont="1" applyFill="1" applyBorder="1" applyAlignment="1">
      <alignment horizontal="center" vertical="center"/>
    </xf>
    <xf numFmtId="3" fontId="52" fillId="3" borderId="113" xfId="0" applyNumberFormat="1" applyFont="1" applyFill="1" applyBorder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13" fillId="2" borderId="24" xfId="0" applyFont="1" applyFill="1" applyBorder="1" applyAlignment="1">
      <alignment horizontal="center" vertical="center"/>
    </xf>
    <xf numFmtId="0" fontId="13" fillId="2" borderId="137" xfId="0" applyFont="1" applyFill="1" applyBorder="1" applyAlignment="1">
      <alignment horizontal="center" vertical="center"/>
    </xf>
    <xf numFmtId="0" fontId="13" fillId="2" borderId="138" xfId="0" applyFont="1" applyFill="1" applyBorder="1" applyAlignment="1">
      <alignment horizontal="center" vertical="center"/>
    </xf>
    <xf numFmtId="0" fontId="13" fillId="2" borderId="139" xfId="0" applyFont="1" applyFill="1" applyBorder="1" applyAlignment="1">
      <alignment horizontal="center" vertical="center"/>
    </xf>
    <xf numFmtId="0" fontId="35" fillId="2" borderId="130" xfId="0" applyFont="1" applyFill="1" applyBorder="1" applyAlignment="1">
      <alignment horizontal="center" vertical="center"/>
    </xf>
    <xf numFmtId="0" fontId="35" fillId="2" borderId="134" xfId="0" applyFont="1" applyFill="1" applyBorder="1" applyAlignment="1">
      <alignment horizontal="center" vertical="center"/>
    </xf>
    <xf numFmtId="0" fontId="35" fillId="2" borderId="133" xfId="0" applyFont="1" applyFill="1" applyBorder="1" applyAlignment="1">
      <alignment horizontal="center" vertical="center"/>
    </xf>
    <xf numFmtId="0" fontId="35" fillId="2" borderId="6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40" xfId="0" applyFont="1" applyFill="1" applyBorder="1" applyAlignment="1">
      <alignment horizontal="center" vertical="center"/>
    </xf>
    <xf numFmtId="0" fontId="13" fillId="2" borderId="141" xfId="0" applyFont="1" applyFill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/>
    </xf>
    <xf numFmtId="0" fontId="35" fillId="2" borderId="71" xfId="0" applyFont="1" applyFill="1" applyBorder="1" applyAlignment="1">
      <alignment horizontal="center" vertical="center"/>
    </xf>
    <xf numFmtId="0" fontId="13" fillId="2" borderId="132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119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5" fillId="2" borderId="132" xfId="0" applyFont="1" applyFill="1" applyBorder="1" applyAlignment="1">
      <alignment horizontal="center" vertical="center"/>
    </xf>
    <xf numFmtId="0" fontId="35" fillId="2" borderId="6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28" fillId="0" borderId="137" xfId="0" applyFont="1" applyBorder="1" applyAlignment="1">
      <alignment horizontal="center" vertical="center"/>
    </xf>
    <xf numFmtId="0" fontId="43" fillId="4" borderId="61" xfId="0" applyFont="1" applyFill="1" applyBorder="1" applyAlignment="1">
      <alignment horizontal="center" vertical="center"/>
    </xf>
    <xf numFmtId="0" fontId="43" fillId="4" borderId="71" xfId="0" applyFont="1" applyFill="1" applyBorder="1" applyAlignment="1">
      <alignment horizontal="center" vertical="center"/>
    </xf>
    <xf numFmtId="0" fontId="43" fillId="4" borderId="72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3" fillId="4" borderId="60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50" fillId="0" borderId="77" xfId="0" applyFont="1" applyBorder="1" applyAlignment="1">
      <alignment horizontal="center"/>
    </xf>
    <xf numFmtId="3" fontId="50" fillId="3" borderId="77" xfId="0" applyNumberFormat="1" applyFont="1" applyFill="1" applyBorder="1" applyAlignment="1">
      <alignment horizontal="center"/>
    </xf>
    <xf numFmtId="3" fontId="49" fillId="3" borderId="77" xfId="0" applyNumberFormat="1" applyFont="1" applyFill="1" applyBorder="1" applyAlignment="1">
      <alignment horizontal="center"/>
    </xf>
    <xf numFmtId="0" fontId="64" fillId="3" borderId="85" xfId="0" applyFont="1" applyFill="1" applyBorder="1" applyAlignment="1">
      <alignment horizontal="center" vertical="center" wrapText="1"/>
    </xf>
    <xf numFmtId="0" fontId="64" fillId="3" borderId="87" xfId="0" applyFont="1" applyFill="1" applyBorder="1" applyAlignment="1">
      <alignment horizontal="center" vertical="center" wrapText="1"/>
    </xf>
    <xf numFmtId="0" fontId="34" fillId="3" borderId="83" xfId="0" applyFont="1" applyFill="1" applyBorder="1" applyAlignment="1">
      <alignment horizontal="center" vertical="center"/>
    </xf>
    <xf numFmtId="0" fontId="34" fillId="3" borderId="81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123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64" fillId="3" borderId="92" xfId="0" applyFont="1" applyFill="1" applyBorder="1" applyAlignment="1">
      <alignment horizontal="center" vertical="center" wrapText="1"/>
    </xf>
    <xf numFmtId="0" fontId="64" fillId="3" borderId="81" xfId="0" applyFont="1" applyFill="1" applyBorder="1" applyAlignment="1">
      <alignment horizontal="center" vertical="center" wrapText="1"/>
    </xf>
    <xf numFmtId="0" fontId="64" fillId="3" borderId="102" xfId="0" applyFont="1" applyFill="1" applyBorder="1" applyAlignment="1">
      <alignment horizontal="center" vertical="center" wrapText="1"/>
    </xf>
    <xf numFmtId="0" fontId="34" fillId="3" borderId="92" xfId="0" applyFont="1" applyFill="1" applyBorder="1" applyAlignment="1">
      <alignment horizontal="center" vertical="center"/>
    </xf>
    <xf numFmtId="0" fontId="34" fillId="3" borderId="100" xfId="0" applyFont="1" applyFill="1" applyBorder="1" applyAlignment="1">
      <alignment horizontal="center" vertical="center"/>
    </xf>
    <xf numFmtId="0" fontId="64" fillId="3" borderId="81" xfId="0" applyFont="1" applyFill="1" applyBorder="1" applyAlignment="1">
      <alignment horizontal="center" vertical="center"/>
    </xf>
    <xf numFmtId="0" fontId="64" fillId="3" borderId="9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 wrapText="1"/>
    </xf>
    <xf numFmtId="0" fontId="21" fillId="3" borderId="81" xfId="0" applyFont="1" applyFill="1" applyBorder="1" applyAlignment="1">
      <alignment horizontal="center" vertical="center"/>
    </xf>
    <xf numFmtId="0" fontId="65" fillId="3" borderId="93" xfId="0" applyFont="1" applyFill="1" applyBorder="1" applyAlignment="1">
      <alignment horizontal="center" vertical="center"/>
    </xf>
    <xf numFmtId="0" fontId="65" fillId="3" borderId="94" xfId="0" applyFont="1" applyFill="1" applyBorder="1" applyAlignment="1">
      <alignment horizontal="center" vertical="center"/>
    </xf>
    <xf numFmtId="0" fontId="65" fillId="3" borderId="95" xfId="0" applyFont="1" applyFill="1" applyBorder="1" applyAlignment="1">
      <alignment horizontal="center" vertical="center"/>
    </xf>
    <xf numFmtId="0" fontId="65" fillId="3" borderId="96" xfId="0" applyFont="1" applyFill="1" applyBorder="1" applyAlignment="1">
      <alignment horizontal="center" vertical="center"/>
    </xf>
    <xf numFmtId="0" fontId="65" fillId="3" borderId="97" xfId="0" applyFont="1" applyFill="1" applyBorder="1" applyAlignment="1">
      <alignment horizontal="center" vertical="center"/>
    </xf>
    <xf numFmtId="0" fontId="65" fillId="3" borderId="98" xfId="0" applyFont="1" applyFill="1" applyBorder="1" applyAlignment="1">
      <alignment horizontal="center" vertical="center"/>
    </xf>
    <xf numFmtId="0" fontId="34" fillId="3" borderId="82" xfId="0" applyFont="1" applyFill="1" applyBorder="1" applyAlignment="1">
      <alignment horizontal="center" vertical="center"/>
    </xf>
    <xf numFmtId="0" fontId="21" fillId="3" borderId="85" xfId="0" applyFont="1" applyFill="1" applyBorder="1" applyAlignment="1">
      <alignment horizontal="center" vertical="center"/>
    </xf>
    <xf numFmtId="0" fontId="49" fillId="3" borderId="96" xfId="0" applyFont="1" applyFill="1" applyBorder="1" applyAlignment="1">
      <alignment horizontal="center" vertical="center" wrapText="1"/>
    </xf>
    <xf numFmtId="0" fontId="49" fillId="3" borderId="97" xfId="0" applyFont="1" applyFill="1" applyBorder="1" applyAlignment="1">
      <alignment horizontal="center" vertical="center" wrapText="1"/>
    </xf>
    <xf numFmtId="0" fontId="49" fillId="3" borderId="98" xfId="0" applyFont="1" applyFill="1" applyBorder="1" applyAlignment="1">
      <alignment horizontal="center" vertical="center" wrapText="1"/>
    </xf>
    <xf numFmtId="0" fontId="65" fillId="3" borderId="105" xfId="0" applyFont="1" applyFill="1" applyBorder="1" applyAlignment="1">
      <alignment horizontal="center" vertical="center"/>
    </xf>
    <xf numFmtId="0" fontId="65" fillId="3" borderId="106" xfId="0" applyFont="1" applyFill="1" applyBorder="1" applyAlignment="1">
      <alignment horizontal="center" vertical="center"/>
    </xf>
    <xf numFmtId="0" fontId="21" fillId="3" borderId="87" xfId="0" applyFont="1" applyFill="1" applyBorder="1" applyAlignment="1">
      <alignment horizontal="center" vertical="center"/>
    </xf>
    <xf numFmtId="0" fontId="21" fillId="3" borderId="88" xfId="0" applyFont="1" applyFill="1" applyBorder="1" applyAlignment="1">
      <alignment horizontal="center" vertical="center"/>
    </xf>
    <xf numFmtId="0" fontId="65" fillId="3" borderId="107" xfId="0" applyFont="1" applyFill="1" applyBorder="1" applyAlignment="1">
      <alignment horizontal="center" vertical="center"/>
    </xf>
    <xf numFmtId="0" fontId="50" fillId="3" borderId="105" xfId="0" applyFont="1" applyFill="1" applyBorder="1" applyAlignment="1">
      <alignment horizontal="center" vertical="center" wrapText="1"/>
    </xf>
    <xf numFmtId="0" fontId="50" fillId="3" borderId="106" xfId="0" applyFont="1" applyFill="1" applyBorder="1" applyAlignment="1">
      <alignment horizontal="center" vertical="center" wrapText="1"/>
    </xf>
    <xf numFmtId="0" fontId="50" fillId="3" borderId="107" xfId="0" applyFont="1" applyFill="1" applyBorder="1" applyAlignment="1">
      <alignment horizontal="center" vertical="center" wrapText="1"/>
    </xf>
    <xf numFmtId="0" fontId="49" fillId="3" borderId="93" xfId="0" applyFont="1" applyFill="1" applyBorder="1" applyAlignment="1">
      <alignment horizontal="center" vertical="center"/>
    </xf>
    <xf numFmtId="0" fontId="49" fillId="3" borderId="94" xfId="0" applyFont="1" applyFill="1" applyBorder="1" applyAlignment="1">
      <alignment horizontal="center" vertical="center"/>
    </xf>
    <xf numFmtId="0" fontId="49" fillId="3" borderId="95" xfId="0" applyFont="1" applyFill="1" applyBorder="1" applyAlignment="1">
      <alignment horizontal="center" vertical="center"/>
    </xf>
    <xf numFmtId="0" fontId="3" fillId="2" borderId="150" xfId="0" applyFont="1" applyFill="1" applyBorder="1" applyAlignment="1">
      <alignment horizontal="center" wrapText="1"/>
    </xf>
    <xf numFmtId="0" fontId="3" fillId="2" borderId="151" xfId="0" applyFont="1" applyFill="1" applyBorder="1" applyAlignment="1">
      <alignment horizontal="center" wrapText="1"/>
    </xf>
    <xf numFmtId="0" fontId="3" fillId="2" borderId="152" xfId="0" applyFont="1" applyFill="1" applyBorder="1" applyAlignment="1">
      <alignment horizontal="center" wrapText="1"/>
    </xf>
    <xf numFmtId="0" fontId="144" fillId="0" borderId="0" xfId="0" applyFont="1" applyAlignment="1">
      <alignment horizontal="left" wrapText="1"/>
    </xf>
    <xf numFmtId="3" fontId="3" fillId="3" borderId="150" xfId="0" applyNumberFormat="1" applyFont="1" applyFill="1" applyBorder="1" applyAlignment="1">
      <alignment horizontal="center" wrapText="1"/>
    </xf>
    <xf numFmtId="3" fontId="3" fillId="3" borderId="151" xfId="0" applyNumberFormat="1" applyFont="1" applyFill="1" applyBorder="1" applyAlignment="1">
      <alignment horizontal="center" wrapText="1"/>
    </xf>
    <xf numFmtId="3" fontId="3" fillId="3" borderId="152" xfId="0" applyNumberFormat="1" applyFont="1" applyFill="1" applyBorder="1" applyAlignment="1">
      <alignment horizontal="center" wrapText="1"/>
    </xf>
    <xf numFmtId="0" fontId="0" fillId="0" borderId="149" xfId="0" applyBorder="1" applyAlignment="1">
      <alignment wrapText="1"/>
    </xf>
    <xf numFmtId="0" fontId="0" fillId="0" borderId="153" xfId="0" applyBorder="1" applyAlignment="1">
      <alignment wrapText="1"/>
    </xf>
    <xf numFmtId="0" fontId="3" fillId="0" borderId="149" xfId="0" applyFont="1" applyBorder="1" applyAlignment="1">
      <alignment horizontal="center" vertical="center" wrapText="1"/>
    </xf>
    <xf numFmtId="0" fontId="3" fillId="0" borderId="153" xfId="0" applyFont="1" applyBorder="1" applyAlignment="1">
      <alignment horizontal="center" vertical="center" wrapText="1"/>
    </xf>
    <xf numFmtId="0" fontId="3" fillId="0" borderId="150" xfId="0" applyFont="1" applyBorder="1" applyAlignment="1">
      <alignment horizontal="center" vertical="center" wrapText="1"/>
    </xf>
    <xf numFmtId="0" fontId="3" fillId="0" borderId="151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 wrapText="1"/>
    </xf>
    <xf numFmtId="0" fontId="3" fillId="3" borderId="150" xfId="0" applyFont="1" applyFill="1" applyBorder="1" applyAlignment="1">
      <alignment horizontal="center" vertical="center" wrapText="1"/>
    </xf>
    <xf numFmtId="0" fontId="3" fillId="3" borderId="151" xfId="0" applyFont="1" applyFill="1" applyBorder="1" applyAlignment="1">
      <alignment horizontal="center" vertical="center" wrapText="1"/>
    </xf>
    <xf numFmtId="0" fontId="3" fillId="3" borderId="15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2" fillId="0" borderId="146" xfId="0" applyFont="1" applyBorder="1" applyAlignment="1">
      <alignment horizontal="right"/>
    </xf>
    <xf numFmtId="0" fontId="142" fillId="0" borderId="147" xfId="0" applyFont="1" applyBorder="1" applyAlignment="1">
      <alignment horizontal="right"/>
    </xf>
    <xf numFmtId="0" fontId="142" fillId="0" borderId="148" xfId="0" applyFont="1" applyBorder="1" applyAlignment="1">
      <alignment horizontal="right"/>
    </xf>
    <xf numFmtId="0" fontId="55" fillId="4" borderId="28" xfId="0" applyFont="1" applyFill="1" applyBorder="1" applyAlignment="1">
      <alignment horizontal="center" textRotation="90"/>
    </xf>
    <xf numFmtId="0" fontId="0" fillId="3" borderId="0" xfId="0" applyFill="1" applyAlignment="1">
      <alignment horizontal="center"/>
    </xf>
    <xf numFmtId="0" fontId="145" fillId="0" borderId="157" xfId="0" applyFont="1" applyBorder="1" applyAlignment="1">
      <alignment horizontal="center" vertical="center"/>
    </xf>
    <xf numFmtId="0" fontId="145" fillId="0" borderId="158" xfId="0" applyFont="1" applyBorder="1" applyAlignment="1">
      <alignment horizontal="center" vertical="center"/>
    </xf>
    <xf numFmtId="0" fontId="147" fillId="30" borderId="28" xfId="0" applyFont="1" applyFill="1" applyBorder="1" applyAlignment="1">
      <alignment horizontal="center" vertical="center"/>
    </xf>
    <xf numFmtId="0" fontId="58" fillId="31" borderId="44" xfId="0" applyFont="1" applyFill="1" applyBorder="1" applyAlignment="1">
      <alignment horizontal="center" vertical="center"/>
    </xf>
    <xf numFmtId="0" fontId="43" fillId="4" borderId="159" xfId="0" applyFont="1" applyFill="1" applyBorder="1" applyAlignment="1">
      <alignment horizontal="center"/>
    </xf>
    <xf numFmtId="0" fontId="43" fillId="4" borderId="29" xfId="0" applyFont="1" applyFill="1" applyBorder="1" applyAlignment="1">
      <alignment horizontal="center"/>
    </xf>
    <xf numFmtId="0" fontId="55" fillId="4" borderId="28" xfId="0" applyFont="1" applyFill="1" applyBorder="1" applyAlignment="1">
      <alignment horizontal="center" vertical="center" textRotation="90"/>
    </xf>
    <xf numFmtId="0" fontId="55" fillId="4" borderId="40" xfId="0" applyFont="1" applyFill="1" applyBorder="1" applyAlignment="1">
      <alignment horizontal="center" textRotation="90"/>
    </xf>
    <xf numFmtId="0" fontId="55" fillId="4" borderId="123" xfId="0" applyFont="1" applyFill="1" applyBorder="1" applyAlignment="1">
      <alignment horizontal="center" textRotation="90"/>
    </xf>
    <xf numFmtId="0" fontId="55" fillId="4" borderId="44" xfId="0" applyFont="1" applyFill="1" applyBorder="1" applyAlignment="1">
      <alignment horizontal="center" textRotation="90"/>
    </xf>
  </cellXfs>
  <cellStyles count="216">
    <cellStyle name="Accent" xfId="41" xr:uid="{B6CAF2C1-DFDD-4462-A082-39C407DDADDC}"/>
    <cellStyle name="Accent 1" xfId="42" xr:uid="{E0AEE585-08EE-4D8E-9C2C-E6882CAFF3AA}"/>
    <cellStyle name="Accent 1 2" xfId="60" xr:uid="{89A08943-DA97-4B86-8171-C9DE1E6EC1F3}"/>
    <cellStyle name="Accent 1 3" xfId="83" xr:uid="{D5597795-BD99-4BA3-A1BC-CDD72734926E}"/>
    <cellStyle name="Accent 1 3 2" xfId="137" xr:uid="{975A75F3-FEDE-4648-AB71-C54EEA6DC55F}"/>
    <cellStyle name="Accent 1 4" xfId="169" xr:uid="{3ED5B43A-C939-493B-9F93-DE533B6C9E92}"/>
    <cellStyle name="Accent 1 5" xfId="165" xr:uid="{9B864F98-D5C2-477C-8197-86034C5141BA}"/>
    <cellStyle name="Accent 2" xfId="43" xr:uid="{09204039-49E9-4E83-AA60-8EE752FFA73B}"/>
    <cellStyle name="Accent 2 2" xfId="61" xr:uid="{1CFDFEED-0B50-4AFA-8B7B-3A8752AB320F}"/>
    <cellStyle name="Accent 2 3" xfId="84" xr:uid="{E0751935-922E-48CF-A603-2334BECC7ACC}"/>
    <cellStyle name="Accent 2 3 2" xfId="138" xr:uid="{576ADBC2-9184-473C-A27C-7B79FF4F9586}"/>
    <cellStyle name="Accent 2 4" xfId="170" xr:uid="{11B60BD2-5822-49E2-9FC3-F97EEF1E0116}"/>
    <cellStyle name="Accent 2 6" xfId="166" xr:uid="{0587AC0D-6793-49E6-B6EE-213859F412CC}"/>
    <cellStyle name="Accent 3" xfId="44" xr:uid="{5A24FCEC-9849-400E-80BB-997C2F0FCCE9}"/>
    <cellStyle name="Accent 3 2" xfId="62" xr:uid="{6E34AE61-B1FE-4936-B8D7-85AE43567AAC}"/>
    <cellStyle name="Accent 3 3" xfId="85" xr:uid="{B8EFB3AC-E313-4980-A6A6-3F867220BAD9}"/>
    <cellStyle name="Accent 3 3 2" xfId="139" xr:uid="{911CCB6B-D871-4430-9FB1-9DD973E011CB}"/>
    <cellStyle name="Accent 3 4" xfId="171" xr:uid="{EE32BEA2-F3A7-466E-B839-1172441C9EC5}"/>
    <cellStyle name="Accent 3 7" xfId="124" xr:uid="{6E55574D-90D5-4D4C-A257-9812D621A39D}"/>
    <cellStyle name="Accent 4" xfId="59" xr:uid="{73C33DBD-11D4-4655-970F-C7A198D0E967}"/>
    <cellStyle name="Accent 4 2" xfId="131" xr:uid="{D5FD1764-02E8-4829-8EF6-CCABE6D8AC42}"/>
    <cellStyle name="Accent 5" xfId="82" xr:uid="{C60C5E9A-EE08-430E-B687-9457C44F15AC}"/>
    <cellStyle name="Accent 5 2" xfId="136" xr:uid="{D3AB6F1F-E3C2-4EA1-9FCA-559B99617EC9}"/>
    <cellStyle name="Accent 6" xfId="168" xr:uid="{91992127-DA40-4148-BBD9-9D348A77ABBB}"/>
    <cellStyle name="Bad" xfId="45" xr:uid="{C86CE902-656D-408E-8937-604D2D58666E}"/>
    <cellStyle name="Bad 2" xfId="63" xr:uid="{AFE1BF3A-D31A-4A97-8FDD-3C2F28CB681F}"/>
    <cellStyle name="Bad 3" xfId="86" xr:uid="{1925A87E-DC41-4C95-A73E-371D1E64F8BC}"/>
    <cellStyle name="Bad 3 2" xfId="140" xr:uid="{81C4E7A6-1A9C-433F-AC40-9B19EB16C3F8}"/>
    <cellStyle name="Bad 4" xfId="172" xr:uid="{47258CBD-B2B0-46D1-8ED6-264E0F0D6D9F}"/>
    <cellStyle name="Bad 8" xfId="113" xr:uid="{B74E57AE-3603-467D-9E2C-D7776E3D7A79}"/>
    <cellStyle name="Error" xfId="46" xr:uid="{136BD0C6-62D0-4170-8F70-E7FD5C43AEB5}"/>
    <cellStyle name="Error 2" xfId="64" xr:uid="{4B3C31AF-3FAA-478F-90DD-BE1E2F8191E0}"/>
    <cellStyle name="Error 3" xfId="87" xr:uid="{85E76239-41DD-42C4-B0E3-E89CF73E7ED7}"/>
    <cellStyle name="Error 3 2" xfId="141" xr:uid="{4052EEE3-88B3-44CD-AB52-5738A4F78732}"/>
    <cellStyle name="Error 4" xfId="173" xr:uid="{75F65097-497F-4555-9B76-9C856C47EE0D}"/>
    <cellStyle name="Error 9" xfId="129" xr:uid="{651E95C7-8101-43B4-8905-B22DC9EB6854}"/>
    <cellStyle name="Estilo 1" xfId="12" xr:uid="{00000000-0005-0000-0000-000000000000}"/>
    <cellStyle name="Estilo 1 2" xfId="132" xr:uid="{9D71E383-3212-4AAC-8A6E-4937B5B6A251}"/>
    <cellStyle name="Excel Built-in Explanatory Text" xfId="25" xr:uid="{00000000-0005-0000-0000-000001000000}"/>
    <cellStyle name="Excel Built-in Explanatory Text 2" xfId="47" xr:uid="{53D67C1F-A27D-409C-9816-14E5BA6FBD2D}"/>
    <cellStyle name="Excel Built-in Explanatory Text 2 2" xfId="142" xr:uid="{18F61322-9D76-4518-B1EA-9EF5A62CA120}"/>
    <cellStyle name="Footnote" xfId="48" xr:uid="{FFB4E8B9-B2C4-495D-9CA4-1BA10CAFCC65}"/>
    <cellStyle name="Footnote 10" xfId="130" xr:uid="{FF7B4132-419B-4190-AC04-AE94F5E61F38}"/>
    <cellStyle name="Footnote 2" xfId="65" xr:uid="{7D1C92BD-FFD7-4B5A-BB44-980FA444DD49}"/>
    <cellStyle name="Footnote 3" xfId="88" xr:uid="{407C3417-0666-456A-A661-DC39C80484DC}"/>
    <cellStyle name="Footnote 3 2" xfId="143" xr:uid="{09A7E3F2-1B31-45B4-B5A6-DB0047D51B7F}"/>
    <cellStyle name="Footnote 4" xfId="174" xr:uid="{0C16AE88-1D24-4824-9309-461576ABB212}"/>
    <cellStyle name="Good" xfId="49" xr:uid="{2AB0999D-4736-4F54-8BB7-0AE9521AE04A}"/>
    <cellStyle name="Good 11" xfId="115" xr:uid="{7FA92294-3714-46FA-A10C-E1299F1FDF34}"/>
    <cellStyle name="Good 2" xfId="66" xr:uid="{5EDE4346-18B1-468C-8F6C-E4B06338002E}"/>
    <cellStyle name="Good 3" xfId="89" xr:uid="{3F1DAC2F-B545-4720-B5E0-AEE38E0FEE8C}"/>
    <cellStyle name="Good 3 2" xfId="144" xr:uid="{8C641415-47A4-4E98-9A25-A8B32D5B5A3D}"/>
    <cellStyle name="Good 4" xfId="175" xr:uid="{3A1B7C40-4D99-4AC6-8BE2-BF0807729F9A}"/>
    <cellStyle name="Heading" xfId="26" xr:uid="{00000000-0005-0000-0000-000002000000}"/>
    <cellStyle name="Heading (user)" xfId="50" xr:uid="{555C296D-B3E3-48FF-89DB-D7D93EDB3124}"/>
    <cellStyle name="Heading (user) 12" xfId="161" xr:uid="{3E76FCCD-60C7-4569-8983-944059AA89D1}"/>
    <cellStyle name="Heading (user) 2" xfId="67" xr:uid="{EEC20720-302D-4107-B1DE-F3DAA1B6D33F}"/>
    <cellStyle name="Heading (user) 3" xfId="90" xr:uid="{09266AE7-B0D8-4D03-83BD-E6DD73ED800C}"/>
    <cellStyle name="Heading (user) 3 2" xfId="146" xr:uid="{98267381-289F-4E0E-BA6D-06B8BECC2435}"/>
    <cellStyle name="Heading (user) 4" xfId="176" xr:uid="{A59A7070-DF23-4864-AF01-24989DB83295}"/>
    <cellStyle name="Heading 1" xfId="51" xr:uid="{7BA4D8A8-9620-4AD8-864D-ECA75D5FCBC6}"/>
    <cellStyle name="Heading 1 13" xfId="118" xr:uid="{5A19DF9B-4384-4390-AE32-275C8C638FEC}"/>
    <cellStyle name="Heading 1 2" xfId="68" xr:uid="{C0A0490D-FD1A-46F1-B3EC-3381F653FFB2}"/>
    <cellStyle name="Heading 1 3" xfId="91" xr:uid="{B6CB7123-3F19-441E-BCD6-EA65B1C28D8D}"/>
    <cellStyle name="Heading 1 3 2" xfId="147" xr:uid="{7833B246-95C1-44A0-9CC4-A18C0A1736CF}"/>
    <cellStyle name="Heading 1 4" xfId="177" xr:uid="{9E90A68F-90F0-4D74-B439-F1573CDCA950}"/>
    <cellStyle name="Heading 2" xfId="52" xr:uid="{5001E55C-DF51-4ECF-BF72-6C01573FCACD}"/>
    <cellStyle name="Heading 2 14" xfId="112" xr:uid="{EB7CE1E1-126A-4AE2-AD6E-22750AAE638B}"/>
    <cellStyle name="Heading 2 2" xfId="69" xr:uid="{FCEDC69C-5F14-487F-8F90-CE3D7939509E}"/>
    <cellStyle name="Heading 2 3" xfId="92" xr:uid="{170E189B-A14E-495C-9A12-1D4715E03804}"/>
    <cellStyle name="Heading 2 3 2" xfId="148" xr:uid="{B1D03825-9C05-4504-A708-1334944C40DD}"/>
    <cellStyle name="Heading 2 4" xfId="178" xr:uid="{1B8299AD-9099-4966-A53D-0A980228C911}"/>
    <cellStyle name="Heading 3" xfId="145" xr:uid="{F5B4D148-CD8C-44D0-BB40-9A06FE2C8D7F}"/>
    <cellStyle name="Heading 4" xfId="158" xr:uid="{A30A68E6-C3BD-4C7A-98E0-230E5198B01C}"/>
    <cellStyle name="Heading1" xfId="27" xr:uid="{00000000-0005-0000-0000-000003000000}"/>
    <cellStyle name="Heading1 2" xfId="149" xr:uid="{CC72C46D-9F97-46C5-BC86-C0CD85B4ABCE}"/>
    <cellStyle name="Hyperlink" xfId="70" xr:uid="{81C57B0F-3C0B-4C8D-BCBA-C1C40A4F7A32}"/>
    <cellStyle name="Hyperlink 15" xfId="120" xr:uid="{4898545B-70B0-4E79-B440-56ABAE9215AA}"/>
    <cellStyle name="Hyperlink 2" xfId="150" xr:uid="{9C223987-68D3-42F5-8DE9-19831EB2A38E}"/>
    <cellStyle name="Hyperlink 2 2" xfId="179" xr:uid="{69B94504-F968-4DBB-8338-52E6AE239FE3}"/>
    <cellStyle name="Neutral" xfId="53" xr:uid="{9E102D85-F98A-4731-9B1E-E46C50B17558}"/>
    <cellStyle name="Neutral 16" xfId="121" xr:uid="{F0241D38-D6A6-4360-BA1A-70E13BF7A1A7}"/>
    <cellStyle name="Neutral 2" xfId="71" xr:uid="{139C6964-3C5C-4D57-B78E-87D428728AC8}"/>
    <cellStyle name="Neutral 3" xfId="93" xr:uid="{DF8620D6-DCCE-465E-804B-D731A6C6B982}"/>
    <cellStyle name="Neutral 3 2" xfId="151" xr:uid="{FBE19B5B-252F-4BD6-BAA8-F3D93515E254}"/>
    <cellStyle name="Neutral 4" xfId="180" xr:uid="{8570145D-F080-44CB-9A75-0EABCA2ADA18}"/>
    <cellStyle name="Normal" xfId="0" builtinId="0"/>
    <cellStyle name="Normal 2" xfId="2" xr:uid="{00000000-0005-0000-0000-000002000000}"/>
    <cellStyle name="Normal 2 2" xfId="8" xr:uid="{00000000-0005-0000-0000-000003000000}"/>
    <cellStyle name="Normal 2 2 2" xfId="14" xr:uid="{00000000-0005-0000-0000-000004000000}"/>
    <cellStyle name="Normal 2 2 3" xfId="160" xr:uid="{700EC67D-AD97-475B-821F-BED2E0F85830}"/>
    <cellStyle name="Normal 2 3" xfId="13" xr:uid="{00000000-0005-0000-0000-000005000000}"/>
    <cellStyle name="Normal 2 3 2" xfId="164" xr:uid="{AA1A1773-74CA-4311-B280-423FB6266BE7}"/>
    <cellStyle name="Normal 2 4" xfId="17" xr:uid="{00000000-0005-0000-0000-000006000000}"/>
    <cellStyle name="Normal 2 5" xfId="20" xr:uid="{00000000-0005-0000-0000-000007000000}"/>
    <cellStyle name="Normal 3" xfId="6" xr:uid="{00000000-0005-0000-0000-000008000000}"/>
    <cellStyle name="Normal 3 2" xfId="15" xr:uid="{00000000-0005-0000-0000-000009000000}"/>
    <cellStyle name="Normal 3 2 2" xfId="109" xr:uid="{F96AF410-6A98-4F90-B707-89B484AD306B}"/>
    <cellStyle name="Normal 3 3" xfId="18" xr:uid="{00000000-0005-0000-0000-00000A000000}"/>
    <cellStyle name="Normal 3 3 2" xfId="123" xr:uid="{248F1FB8-7EAA-4375-B7DE-4F55FA6B9D6F}"/>
    <cellStyle name="Normal 3 4" xfId="128" xr:uid="{A69FA7CE-EA48-4E14-AE57-BC1B8BE4A16C}"/>
    <cellStyle name="Normal 4" xfId="16" xr:uid="{00000000-0005-0000-0000-00000B000000}"/>
    <cellStyle name="Normal 4 2" xfId="159" xr:uid="{1E37AEE6-AA88-4A1D-B2CA-490C660DEDA6}"/>
    <cellStyle name="Normal 5" xfId="24" xr:uid="{00000000-0005-0000-0000-00000F000000}"/>
    <cellStyle name="Normal 5 2" xfId="40" xr:uid="{9DE68885-2A4F-4869-B39A-4A4791819E4F}"/>
    <cellStyle name="Normal 5 3" xfId="119" xr:uid="{194BC198-AF33-40D3-98E9-DB7E5FCF6CBB}"/>
    <cellStyle name="Normal 6" xfId="58" xr:uid="{06C2FCF8-B359-407F-A9E5-81EE8AD16F7C}"/>
    <cellStyle name="Normal 7" xfId="76" xr:uid="{6C374907-862B-442C-8F89-77ACA3CD8630}"/>
    <cellStyle name="Normal 8" xfId="135" xr:uid="{6D850A4B-431F-438A-BC84-4D9A08F2C4E9}"/>
    <cellStyle name="Normal 8 2" xfId="167" xr:uid="{3C30632B-C979-46FB-9C01-D4F45D1C1861}"/>
    <cellStyle name="Note" xfId="54" xr:uid="{4F9800BC-B12C-4597-85FB-EE1CCD0933E0}"/>
    <cellStyle name="Note 17" xfId="163" xr:uid="{C34D6F77-B7EC-4EA1-8B35-D1B1698F64AB}"/>
    <cellStyle name="Note 2" xfId="72" xr:uid="{33AEF364-8FDC-40AB-A93E-586D75D50737}"/>
    <cellStyle name="Note 3" xfId="94" xr:uid="{96FFE12C-B24C-4EE8-84F7-B979A7135AB0}"/>
    <cellStyle name="Note 3 2" xfId="152" xr:uid="{818B862E-7DB3-4762-BFB0-D2552EE96916}"/>
    <cellStyle name="Note 4" xfId="181" xr:uid="{B0A84E1F-DD18-4984-9EE2-71A9B8A733EC}"/>
    <cellStyle name="Porcentagem" xfId="1" builtinId="5"/>
    <cellStyle name="Porcentagem 2" xfId="3" xr:uid="{00000000-0005-0000-0000-00000D000000}"/>
    <cellStyle name="Porcentagem 3" xfId="7" xr:uid="{00000000-0005-0000-0000-00000E000000}"/>
    <cellStyle name="Porcentagem 3 2" xfId="116" xr:uid="{83A06CAD-36B9-42EE-B8E6-C10625C31C29}"/>
    <cellStyle name="Porcentagem 4" xfId="125" xr:uid="{0E605C32-C34A-4813-A878-4B4122CC182B}"/>
    <cellStyle name="Result" xfId="28" xr:uid="{00000000-0005-0000-0000-000013000000}"/>
    <cellStyle name="Result 2" xfId="153" xr:uid="{C122BD54-8F0E-42F7-A52D-7B635A62DE5F}"/>
    <cellStyle name="Result2" xfId="29" xr:uid="{00000000-0005-0000-0000-000014000000}"/>
    <cellStyle name="Result2 2" xfId="154" xr:uid="{F4D9B2D5-6890-46DD-867E-075E67C28916}"/>
    <cellStyle name="Status" xfId="55" xr:uid="{7C69510A-E508-4EE4-8441-C6174CC016F1}"/>
    <cellStyle name="Status 18" xfId="110" xr:uid="{E02384FA-74F5-4D8D-8FD0-A88ECCBE0966}"/>
    <cellStyle name="Status 2" xfId="73" xr:uid="{2DA51056-4AAC-4424-B58C-074A20C90B64}"/>
    <cellStyle name="Status 3" xfId="95" xr:uid="{0B7FD518-FA08-4C80-A25B-0F97EAD4A221}"/>
    <cellStyle name="Status 3 2" xfId="155" xr:uid="{719FC83D-2C71-4ECA-AC1C-76BDB524A570}"/>
    <cellStyle name="Status 4" xfId="182" xr:uid="{3791CF19-54B3-447E-8AC4-8FF8746CDD41}"/>
    <cellStyle name="TableStyleLight1" xfId="4" xr:uid="{00000000-0005-0000-0000-00000F000000}"/>
    <cellStyle name="TableStyleLight1 2" xfId="9" xr:uid="{00000000-0005-0000-0000-000010000000}"/>
    <cellStyle name="TableStyleLight1 3" xfId="21" xr:uid="{00000000-0005-0000-0000-000011000000}"/>
    <cellStyle name="TableStyleLight1 3 2" xfId="126" xr:uid="{28E4D09D-80BA-4D0F-A544-01FAA07822AD}"/>
    <cellStyle name="Text" xfId="56" xr:uid="{60BC79E9-C314-4303-BC08-CFAE10CF4BC3}"/>
    <cellStyle name="Text 19" xfId="108" xr:uid="{C367EAE2-0F85-4C11-9059-E3ED0B61AA49}"/>
    <cellStyle name="Text 2" xfId="74" xr:uid="{B2D37253-FD39-49B0-9B3D-4EA28C5B0FED}"/>
    <cellStyle name="Text 3" xfId="96" xr:uid="{D9352B0D-509D-4DFF-AB2E-CFBEDD1FBCB7}"/>
    <cellStyle name="Text 3 2" xfId="156" xr:uid="{AA0C15CE-5D70-4D30-8C40-13A15CFC3409}"/>
    <cellStyle name="Text 4" xfId="183" xr:uid="{5111C4DE-435C-4127-A314-2639C78F8E53}"/>
    <cellStyle name="Texto Explicativo 2" xfId="23" xr:uid="{00000000-0005-0000-0000-000018000000}"/>
    <cellStyle name="Texto Explicativo 2 2" xfId="38" xr:uid="{E2927F8C-AB8E-4697-9B6C-622488382F34}"/>
    <cellStyle name="Título 1 1" xfId="10" xr:uid="{00000000-0005-0000-0000-000012000000}"/>
    <cellStyle name="Título 1 1 2" xfId="122" xr:uid="{43B46C56-BB66-46B3-81DF-5DFBE50AAC7E}"/>
    <cellStyle name="Vírgula 10" xfId="111" xr:uid="{6798BEFF-A725-4DA2-9101-097810BC390E}"/>
    <cellStyle name="Vírgula 10 2" xfId="211" xr:uid="{813D3DEA-734F-45BC-A6A9-7B8B2EE34B0B}"/>
    <cellStyle name="Vírgula 11" xfId="162" xr:uid="{FADAEC56-4B47-4C9D-82E1-99859C5074C9}"/>
    <cellStyle name="Vírgula 2" xfId="5" xr:uid="{00000000-0005-0000-0000-000013000000}"/>
    <cellStyle name="Vírgula 2 2" xfId="11" xr:uid="{00000000-0005-0000-0000-000014000000}"/>
    <cellStyle name="Vírgula 3" xfId="19" xr:uid="{00000000-0005-0000-0000-000015000000}"/>
    <cellStyle name="Vírgula 3 10" xfId="185" xr:uid="{0EEAD4C8-0260-4A60-814D-9FC094E49F3D}"/>
    <cellStyle name="Vírgula 3 2" xfId="33" xr:uid="{0C798B94-A204-4657-AFD9-023E56B44F81}"/>
    <cellStyle name="Vírgula 3 2 2" xfId="78" xr:uid="{94B0ECC3-CC3F-49C8-88A5-579FC79052BA}"/>
    <cellStyle name="Vírgula 3 2 2 2" xfId="197" xr:uid="{869D7706-1EC5-4D50-8257-B3BA3EC988F9}"/>
    <cellStyle name="Vírgula 3 2 3" xfId="99" xr:uid="{E8D527A0-152D-45C5-A8D0-D38C36EEF154}"/>
    <cellStyle name="Vírgula 3 2 3 2" xfId="202" xr:uid="{BF5F0E42-8A3F-41AD-8F4F-B201F53AB194}"/>
    <cellStyle name="Vírgula 3 2 4" xfId="103" xr:uid="{00F479F3-52F6-4262-8E8F-44698181165F}"/>
    <cellStyle name="Vírgula 3 2 4 2" xfId="206" xr:uid="{F10AF416-6760-4C17-B6CB-C1F59616EEC8}"/>
    <cellStyle name="Vírgula 3 2 5" xfId="107" xr:uid="{41561EC8-34FF-4261-B482-9A30FC0A4EF8}"/>
    <cellStyle name="Vírgula 3 2 5 2" xfId="210" xr:uid="{03048CD0-3C40-4D5B-992F-CFDDAA8BB035}"/>
    <cellStyle name="Vírgula 3 2 6" xfId="134" xr:uid="{D463F8B1-B6FB-4507-8838-635EC5FCF4D0}"/>
    <cellStyle name="Vírgula 3 2 6 2" xfId="215" xr:uid="{8E3713C9-DC1B-49D4-800E-0CE8D01D3B4D}"/>
    <cellStyle name="Vírgula 3 2 7" xfId="190" xr:uid="{98445A7A-8575-420F-9D2F-F3CD294BA7E8}"/>
    <cellStyle name="Vírgula 3 3" xfId="34" xr:uid="{4C52FD4E-DE59-432D-806A-5633DF140638}"/>
    <cellStyle name="Vírgula 3 3 2" xfId="191" xr:uid="{02B3C561-F485-4963-9D1E-429E51CC9FF3}"/>
    <cellStyle name="Vírgula 3 4" xfId="31" xr:uid="{EB205631-4560-4CD5-9F2B-16BAA1B56B31}"/>
    <cellStyle name="Vírgula 3 4 2" xfId="188" xr:uid="{770C6E8C-978F-40F3-A659-65AC16C4F694}"/>
    <cellStyle name="Vírgula 3 5" xfId="39" xr:uid="{0B551688-D39B-4D4C-A6CE-20CA4D4F81B4}"/>
    <cellStyle name="Vírgula 3 5 2" xfId="195" xr:uid="{0E22D4B8-1094-4086-AB5E-C4C2E38E98A2}"/>
    <cellStyle name="Vírgula 3 6" xfId="81" xr:uid="{DA286D70-3133-4EAA-9774-0CC5AD25B88D}"/>
    <cellStyle name="Vírgula 3 6 2" xfId="200" xr:uid="{445A57AC-834F-420B-BEAC-82F4C5A060D2}"/>
    <cellStyle name="Vírgula 3 7" xfId="101" xr:uid="{EA291C8E-A8CF-4062-B241-1B70A50D5CE6}"/>
    <cellStyle name="Vírgula 3 7 2" xfId="204" xr:uid="{3AF7355A-7F20-4F0A-AEB9-A2799F4D185C}"/>
    <cellStyle name="Vírgula 3 8" xfId="105" xr:uid="{F8117C62-44A1-4333-BC20-3C992558332D}"/>
    <cellStyle name="Vírgula 3 8 2" xfId="208" xr:uid="{3C9E0014-7AEA-4385-86D6-21FC0C16E269}"/>
    <cellStyle name="Vírgula 3 9" xfId="114" xr:uid="{C8338523-53E3-46D5-AC07-203D68C21023}"/>
    <cellStyle name="Vírgula 3 9 2" xfId="212" xr:uid="{6A1B15D8-1696-47A5-9522-50A13233FC0B}"/>
    <cellStyle name="Vírgula 4" xfId="22" xr:uid="{00000000-0005-0000-0000-00004A000000}"/>
    <cellStyle name="Vírgula 4 2" xfId="36" xr:uid="{41848D35-D857-4D1A-A418-83D1D67FB31F}"/>
    <cellStyle name="Vírgula 4 2 2" xfId="193" xr:uid="{C2CACDDB-8E37-45B0-94F3-EC6D4EAD0015}"/>
    <cellStyle name="Vírgula 4 3" xfId="32" xr:uid="{A5645234-83E5-4C9C-A8BB-AB20186261A0}"/>
    <cellStyle name="Vírgula 4 3 2" xfId="189" xr:uid="{885E37DD-7E28-4F94-B6E6-81FBD1298D8D}"/>
    <cellStyle name="Vírgula 4 4" xfId="77" xr:uid="{90533FEB-806D-4542-98A7-CC99C5AF1D56}"/>
    <cellStyle name="Vírgula 4 4 2" xfId="196" xr:uid="{6B462A18-F5CD-4891-854B-13711674A49B}"/>
    <cellStyle name="Vírgula 4 5" xfId="98" xr:uid="{C8819AFC-CA4D-4FED-BAF7-BF507AECE616}"/>
    <cellStyle name="Vírgula 4 5 2" xfId="201" xr:uid="{99DE55CA-64B2-4C98-8E36-311BBAF88E89}"/>
    <cellStyle name="Vírgula 4 6" xfId="102" xr:uid="{E1D4F20B-9129-45CA-91DC-FFD226262A55}"/>
    <cellStyle name="Vírgula 4 6 2" xfId="205" xr:uid="{E085CA02-DA22-4F01-BBA7-E1A73AB46CEF}"/>
    <cellStyle name="Vírgula 4 7" xfId="106" xr:uid="{23518299-42B4-44E8-AFB4-CD907A3B9A42}"/>
    <cellStyle name="Vírgula 4 7 2" xfId="209" xr:uid="{517A8961-2658-4E94-A52F-51C8475AB315}"/>
    <cellStyle name="Vírgula 4 8" xfId="133" xr:uid="{48023607-0A68-4EC3-B29B-765F0F9D64A2}"/>
    <cellStyle name="Vírgula 4 8 2" xfId="214" xr:uid="{262BE29C-33C0-4F42-B5CC-3CE16E240392}"/>
    <cellStyle name="Vírgula 4 9" xfId="186" xr:uid="{87C752F5-10FD-41DE-8687-178FEE232101}"/>
    <cellStyle name="Vírgula 5" xfId="30" xr:uid="{00000000-0005-0000-0000-00004B000000}"/>
    <cellStyle name="Vírgula 5 2" xfId="35" xr:uid="{1DF67F00-AE00-432F-8D8B-8C70CE55F524}"/>
    <cellStyle name="Vírgula 5 2 2" xfId="192" xr:uid="{A32CCBB6-F3F6-4D37-8FBD-815221F43493}"/>
    <cellStyle name="Vírgula 5 3" xfId="80" xr:uid="{F6F05401-C844-428A-B21C-D7872226DF54}"/>
    <cellStyle name="Vírgula 5 3 2" xfId="199" xr:uid="{6D048F23-C0B2-4E87-8651-03A6D5865F15}"/>
    <cellStyle name="Vírgula 5 4" xfId="117" xr:uid="{17FB951E-ADAE-42B9-9F3D-2E009AF6E12F}"/>
    <cellStyle name="Vírgula 5 4 2" xfId="213" xr:uid="{E03E37EC-97F2-4F9A-874A-80CAA675C23D}"/>
    <cellStyle name="Vírgula 5 5" xfId="187" xr:uid="{55037198-A2AC-4EFC-AC7E-2EE8F6384B43}"/>
    <cellStyle name="Vírgula 6" xfId="37" xr:uid="{23956B39-DA85-4554-BB16-0117D50B6663}"/>
    <cellStyle name="Vírgula 6 2" xfId="194" xr:uid="{4A241424-3AE2-4D81-B1CA-475CB9B944D9}"/>
    <cellStyle name="Vírgula 7" xfId="79" xr:uid="{AF7E2A72-EBE1-4AC2-A37C-2C6421F84A19}"/>
    <cellStyle name="Vírgula 7 2" xfId="198" xr:uid="{A9A90332-35E1-489A-B328-9AE7E9A3154A}"/>
    <cellStyle name="Vírgula 8" xfId="100" xr:uid="{587D2328-D661-4919-822D-9461EB16F109}"/>
    <cellStyle name="Vírgula 8 2" xfId="203" xr:uid="{3E5C9954-A208-43DE-8C0A-20901AC55537}"/>
    <cellStyle name="Vírgula 9" xfId="104" xr:uid="{40992F1F-0660-46DD-BCA2-1B653805E910}"/>
    <cellStyle name="Vírgula 9 2" xfId="207" xr:uid="{1F19E6C4-0F4D-4F65-8430-945296D12CF1}"/>
    <cellStyle name="Warning" xfId="57" xr:uid="{8E9F4379-0531-44B6-9045-B223708D4F8C}"/>
    <cellStyle name="Warning 2" xfId="75" xr:uid="{EC262239-2A32-49E6-8AE3-80E7BBE5A80C}"/>
    <cellStyle name="Warning 20" xfId="127" xr:uid="{B054D49C-31A0-4A72-9B31-1299980A2BF8}"/>
    <cellStyle name="Warning 3" xfId="97" xr:uid="{8F4B4161-3B25-44D8-ACD3-274C3CB7BE93}"/>
    <cellStyle name="Warning 3 2" xfId="157" xr:uid="{FB998E9D-DF85-4ABB-96EE-34F31E1C1A66}"/>
    <cellStyle name="Warning 4" xfId="184" xr:uid="{F647EA39-AFEE-49E3-9922-A0F6B9B43559}"/>
  </cellStyles>
  <dxfs count="0"/>
  <tableStyles count="0" defaultTableStyle="TableStyleMedium2" defaultPivotStyle="PivotStyleLight16"/>
  <colors>
    <mruColors>
      <color rgb="FFE8FED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'1.cont x real'!$C$108:$N$108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'1.cont x real'!$C$109:$N$109</c:f>
              <c:numCache>
                <c:formatCode>#,##0</c:formatCode>
                <c:ptCount val="12"/>
                <c:pt idx="0">
                  <c:v>36495</c:v>
                </c:pt>
                <c:pt idx="1">
                  <c:v>24337</c:v>
                </c:pt>
                <c:pt idx="2">
                  <c:v>33214</c:v>
                </c:pt>
                <c:pt idx="3">
                  <c:v>33212</c:v>
                </c:pt>
                <c:pt idx="4">
                  <c:v>37756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163-4040-AA1F-DDDEECDFBF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ATENDIMENTO/PORTA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496522627805042"/>
          <c:y val="0.19028944298629338"/>
          <c:w val="0.85606358481237788"/>
          <c:h val="0.693730679498396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CONTRATADOXREALIZADOII'!$C$5:$H$5</c:f>
              <c:strCache>
                <c:ptCount val="6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DEZEMBRO</c:v>
                </c:pt>
              </c:strCache>
            </c:strRef>
          </c:cat>
          <c:val>
            <c:numRef>
              <c:f>'GERAL CONTRATADOXREALIZADOII'!$C$10:$H$10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7-411A-9EF7-EBACCB8F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51672"/>
        <c:axId val="129451280"/>
      </c:barChart>
      <c:catAx>
        <c:axId val="129451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451280"/>
        <c:crosses val="autoZero"/>
        <c:auto val="1"/>
        <c:lblAlgn val="ctr"/>
        <c:lblOffset val="100"/>
        <c:noMultiLvlLbl val="0"/>
      </c:catAx>
      <c:valAx>
        <c:axId val="1294512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9451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UMTS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09816447401198"/>
          <c:y val="0.14863063923246142"/>
          <c:w val="0.85629325154221037"/>
          <c:h val="0.26689889155165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'2.SAIDAS. MUNIC.'!$B$25</c:f>
              <c:strCache>
                <c:ptCount val="1"/>
                <c:pt idx="0">
                  <c:v>TABOÃO DA SERRA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'2.SAIDAS. MUNIC.'!$C$24:$N$24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MUNIC.'!$C$25:$N$25</c:f>
              <c:numCache>
                <c:formatCode>0%</c:formatCode>
                <c:ptCount val="12"/>
                <c:pt idx="0">
                  <c:v>0.91176470588235292</c:v>
                </c:pt>
                <c:pt idx="1">
                  <c:v>0.88725490196078449</c:v>
                </c:pt>
                <c:pt idx="2">
                  <c:v>0.9065040650406504</c:v>
                </c:pt>
                <c:pt idx="3">
                  <c:v>0.87068965517241381</c:v>
                </c:pt>
                <c:pt idx="4">
                  <c:v>0.89029535864978904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A-401F-AD46-1B231C813B19}"/>
            </c:ext>
          </c:extLst>
        </c:ser>
        <c:ser>
          <c:idx val="1"/>
          <c:order val="1"/>
          <c:tx>
            <c:strRef>
              <c:f>'2.SAIDAS. MUNIC.'!$B$26</c:f>
              <c:strCache>
                <c:ptCount val="1"/>
                <c:pt idx="0">
                  <c:v>SÃO PAULO</c:v>
                </c:pt>
              </c:strCache>
            </c:strRef>
          </c:tx>
          <c:invertIfNegative val="0"/>
          <c:cat>
            <c:strRef>
              <c:f>'2.SAIDAS. MUNIC.'!$C$24:$N$24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MUNIC.'!$C$26:$N$26</c:f>
              <c:numCache>
                <c:formatCode>0%</c:formatCode>
                <c:ptCount val="12"/>
                <c:pt idx="0">
                  <c:v>4.2016806722689079E-2</c:v>
                </c:pt>
                <c:pt idx="1">
                  <c:v>5.8823529411764712E-2</c:v>
                </c:pt>
                <c:pt idx="2">
                  <c:v>4.878048780487805E-2</c:v>
                </c:pt>
                <c:pt idx="3">
                  <c:v>0.10344827586206895</c:v>
                </c:pt>
                <c:pt idx="4">
                  <c:v>8.8607594936708861E-2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A-401F-AD46-1B231C813B19}"/>
            </c:ext>
          </c:extLst>
        </c:ser>
        <c:ser>
          <c:idx val="2"/>
          <c:order val="2"/>
          <c:tx>
            <c:strRef>
              <c:f>'2.SAIDAS. MUNIC.'!$B$27</c:f>
              <c:strCache>
                <c:ptCount val="1"/>
                <c:pt idx="0">
                  <c:v>EMBU DAS ARTES</c:v>
                </c:pt>
              </c:strCache>
            </c:strRef>
          </c:tx>
          <c:invertIfNegative val="0"/>
          <c:cat>
            <c:strRef>
              <c:f>'2.SAIDAS. MUNIC.'!$C$24:$N$24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MUNIC.'!$C$27:$N$27</c:f>
              <c:numCache>
                <c:formatCode>0%</c:formatCode>
                <c:ptCount val="12"/>
                <c:pt idx="0">
                  <c:v>4.2016806722689079E-2</c:v>
                </c:pt>
                <c:pt idx="1">
                  <c:v>3.9215686274509803E-2</c:v>
                </c:pt>
                <c:pt idx="2">
                  <c:v>4.4715447154471545E-2</c:v>
                </c:pt>
                <c:pt idx="3">
                  <c:v>8.6206896551724137E-3</c:v>
                </c:pt>
                <c:pt idx="4">
                  <c:v>2.1097046413502109E-2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DA-401F-AD46-1B231C813B19}"/>
            </c:ext>
          </c:extLst>
        </c:ser>
        <c:ser>
          <c:idx val="3"/>
          <c:order val="3"/>
          <c:tx>
            <c:strRef>
              <c:f>'2.SAIDAS. MUNIC.'!$B$28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cat>
            <c:strRef>
              <c:f>'2.SAIDAS. MUNIC.'!$C$24:$N$24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MUNIC.'!$C$28:$N$28</c:f>
              <c:numCache>
                <c:formatCode>0%</c:formatCode>
                <c:ptCount val="12"/>
                <c:pt idx="0">
                  <c:v>4.2016806722689074E-3</c:v>
                </c:pt>
                <c:pt idx="1">
                  <c:v>1.4705882352941178E-2</c:v>
                </c:pt>
                <c:pt idx="2">
                  <c:v>0</c:v>
                </c:pt>
                <c:pt idx="3">
                  <c:v>1.7241379310344827E-2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DA-401F-AD46-1B231C813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26920"/>
        <c:axId val="243927312"/>
      </c:barChart>
      <c:catAx>
        <c:axId val="243926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3927312"/>
        <c:crosses val="autoZero"/>
        <c:auto val="1"/>
        <c:lblAlgn val="ctr"/>
        <c:lblOffset val="100"/>
        <c:noMultiLvlLbl val="0"/>
      </c:catAx>
      <c:valAx>
        <c:axId val="24392731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INTERNAÇÕES</a:t>
                </a:r>
              </a:p>
            </c:rich>
          </c:tx>
          <c:layout>
            <c:manualLayout>
              <c:xMode val="edge"/>
              <c:yMode val="edge"/>
              <c:x val="1.3207263370888791E-2"/>
              <c:y val="5.787422469220785E-3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43926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solidFill>
                  <a:srgbClr val="00B050"/>
                </a:solidFill>
              </a:defRPr>
            </a:pPr>
            <a:r>
              <a:rPr lang="en-US" sz="1200" b="1">
                <a:solidFill>
                  <a:srgbClr val="00B050"/>
                </a:solidFill>
              </a:rPr>
              <a:t>PSI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'2.SAIDAS. MUNIC.'!$B$39</c:f>
              <c:strCache>
                <c:ptCount val="1"/>
                <c:pt idx="0">
                  <c:v>TABOÃO DA SERRA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'2.SAIDAS. MUNIC.'!$C$38:$N$38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MUNIC.'!$C$39:$N$39</c:f>
              <c:numCache>
                <c:formatCode>0%</c:formatCode>
                <c:ptCount val="12"/>
                <c:pt idx="0">
                  <c:v>0.56521739130434778</c:v>
                </c:pt>
                <c:pt idx="1">
                  <c:v>0.65333333333333332</c:v>
                </c:pt>
                <c:pt idx="2">
                  <c:v>0.68493150684931503</c:v>
                </c:pt>
                <c:pt idx="3">
                  <c:v>0.72440944881889768</c:v>
                </c:pt>
                <c:pt idx="4">
                  <c:v>1.6853932584269662E-2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E-449D-8BEB-8E045BFDE2EA}"/>
            </c:ext>
          </c:extLst>
        </c:ser>
        <c:ser>
          <c:idx val="1"/>
          <c:order val="1"/>
          <c:tx>
            <c:strRef>
              <c:f>'2.SAIDAS. MUNIC.'!$B$40</c:f>
              <c:strCache>
                <c:ptCount val="1"/>
                <c:pt idx="0">
                  <c:v>EMBU DAS ARTES</c:v>
                </c:pt>
              </c:strCache>
            </c:strRef>
          </c:tx>
          <c:invertIfNegative val="0"/>
          <c:cat>
            <c:strRef>
              <c:f>'2.SAIDAS. MUNIC.'!$C$38:$N$38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MUNIC.'!$C$40:$N$40</c:f>
              <c:numCache>
                <c:formatCode>0%</c:formatCode>
                <c:ptCount val="12"/>
                <c:pt idx="0">
                  <c:v>0.36956521739130432</c:v>
                </c:pt>
                <c:pt idx="1">
                  <c:v>0.25333333333333335</c:v>
                </c:pt>
                <c:pt idx="2">
                  <c:v>0.24657534246575344</c:v>
                </c:pt>
                <c:pt idx="3">
                  <c:v>0.2125984251968504</c:v>
                </c:pt>
                <c:pt idx="4">
                  <c:v>7.8651685393258425E-2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E-449D-8BEB-8E045BFDE2EA}"/>
            </c:ext>
          </c:extLst>
        </c:ser>
        <c:ser>
          <c:idx val="2"/>
          <c:order val="2"/>
          <c:tx>
            <c:strRef>
              <c:f>'2.SAIDAS. MUNIC.'!$B$41</c:f>
              <c:strCache>
                <c:ptCount val="1"/>
                <c:pt idx="0">
                  <c:v>SÃO PAULO</c:v>
                </c:pt>
              </c:strCache>
            </c:strRef>
          </c:tx>
          <c:invertIfNegative val="0"/>
          <c:cat>
            <c:strRef>
              <c:f>'2.SAIDAS. MUNIC.'!$C$38:$N$38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MUNIC.'!$C$41:$N$41</c:f>
              <c:numCache>
                <c:formatCode>0%</c:formatCode>
                <c:ptCount val="12"/>
                <c:pt idx="0">
                  <c:v>6.5217391304347824E-2</c:v>
                </c:pt>
                <c:pt idx="1">
                  <c:v>9.3333333333333351E-2</c:v>
                </c:pt>
                <c:pt idx="2">
                  <c:v>6.8493150684931517E-2</c:v>
                </c:pt>
                <c:pt idx="3">
                  <c:v>6.2992125984251968E-2</c:v>
                </c:pt>
                <c:pt idx="4">
                  <c:v>0.20786516853932585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E-449D-8BEB-8E045BFDE2EA}"/>
            </c:ext>
          </c:extLst>
        </c:ser>
        <c:ser>
          <c:idx val="3"/>
          <c:order val="3"/>
          <c:tx>
            <c:strRef>
              <c:f>'2.SAIDAS. MUNIC.'!$B$42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cat>
            <c:strRef>
              <c:f>'2.SAIDAS. MUNIC.'!$C$38:$N$38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MUNIC.'!$C$42:$N$42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0.6966292134831461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DE-449D-8BEB-8E045BFDE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28488"/>
        <c:axId val="243928880"/>
      </c:barChart>
      <c:catAx>
        <c:axId val="243928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3928880"/>
        <c:crosses val="autoZero"/>
        <c:auto val="1"/>
        <c:lblAlgn val="ctr"/>
        <c:lblOffset val="100"/>
        <c:noMultiLvlLbl val="0"/>
      </c:catAx>
      <c:valAx>
        <c:axId val="243928880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INTERNAÇÕES</a:t>
                </a:r>
              </a:p>
            </c:rich>
          </c:tx>
          <c:layout>
            <c:manualLayout>
              <c:xMode val="edge"/>
              <c:yMode val="edge"/>
              <c:x val="1.554559043348281E-2"/>
              <c:y val="5.2442173536606684E-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43928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solidFill>
                  <a:srgbClr val="00B050"/>
                </a:solidFill>
              </a:defRPr>
            </a:pPr>
            <a:r>
              <a:rPr lang="en-US" sz="1200" b="1">
                <a:solidFill>
                  <a:srgbClr val="00B050"/>
                </a:solidFill>
              </a:rPr>
              <a:t>UPA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'2.SAIDAS. MUNIC.'!$B$32</c:f>
              <c:strCache>
                <c:ptCount val="1"/>
                <c:pt idx="0">
                  <c:v>TABOÃO DA SERRA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'2.SAIDAS. MUNIC.'!$C$31:$N$31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MUNIC.'!$C$32:$N$32</c:f>
              <c:numCache>
                <c:formatCode>0%</c:formatCode>
                <c:ptCount val="12"/>
                <c:pt idx="0">
                  <c:v>0.90654205607476634</c:v>
                </c:pt>
                <c:pt idx="1">
                  <c:v>0.83720930232558133</c:v>
                </c:pt>
                <c:pt idx="2">
                  <c:v>0.76249999999999996</c:v>
                </c:pt>
                <c:pt idx="3">
                  <c:v>0.81052631578947365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F-4826-9BD5-B4956CA17DF2}"/>
            </c:ext>
          </c:extLst>
        </c:ser>
        <c:ser>
          <c:idx val="1"/>
          <c:order val="1"/>
          <c:tx>
            <c:strRef>
              <c:f>'2.SAIDAS. MUNIC.'!$B$33</c:f>
              <c:strCache>
                <c:ptCount val="1"/>
                <c:pt idx="0">
                  <c:v>SÃO PAULO</c:v>
                </c:pt>
              </c:strCache>
            </c:strRef>
          </c:tx>
          <c:invertIfNegative val="0"/>
          <c:cat>
            <c:strRef>
              <c:f>'2.SAIDAS. MUNIC.'!$C$31:$N$31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MUNIC.'!$C$33:$N$33</c:f>
              <c:numCache>
                <c:formatCode>0%</c:formatCode>
                <c:ptCount val="12"/>
                <c:pt idx="0">
                  <c:v>1.8691588785046728E-2</c:v>
                </c:pt>
                <c:pt idx="1">
                  <c:v>6.9767441860465115E-2</c:v>
                </c:pt>
                <c:pt idx="2">
                  <c:v>0.13750000000000001</c:v>
                </c:pt>
                <c:pt idx="3">
                  <c:v>0.11578947368421053</c:v>
                </c:pt>
                <c:pt idx="4">
                  <c:v>3.2786885245901641E-2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F-4826-9BD5-B4956CA17DF2}"/>
            </c:ext>
          </c:extLst>
        </c:ser>
        <c:ser>
          <c:idx val="2"/>
          <c:order val="2"/>
          <c:tx>
            <c:strRef>
              <c:f>'2.SAIDAS. MUNIC.'!$B$34</c:f>
              <c:strCache>
                <c:ptCount val="1"/>
                <c:pt idx="0">
                  <c:v>EMBU DAS ARTES</c:v>
                </c:pt>
              </c:strCache>
            </c:strRef>
          </c:tx>
          <c:invertIfNegative val="0"/>
          <c:cat>
            <c:strRef>
              <c:f>'2.SAIDAS. MUNIC.'!$C$31:$N$31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MUNIC.'!$C$34:$N$34</c:f>
              <c:numCache>
                <c:formatCode>0%</c:formatCode>
                <c:ptCount val="12"/>
                <c:pt idx="0">
                  <c:v>4.6728971962616821E-2</c:v>
                </c:pt>
                <c:pt idx="1">
                  <c:v>9.3023255813953487E-2</c:v>
                </c:pt>
                <c:pt idx="2">
                  <c:v>0.10000000000000002</c:v>
                </c:pt>
                <c:pt idx="3">
                  <c:v>7.3684210526315783E-2</c:v>
                </c:pt>
                <c:pt idx="4">
                  <c:v>1.6393442622950821E-2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F-4826-9BD5-B4956CA17DF2}"/>
            </c:ext>
          </c:extLst>
        </c:ser>
        <c:ser>
          <c:idx val="3"/>
          <c:order val="3"/>
          <c:tx>
            <c:strRef>
              <c:f>'2.SAIDAS. MUNIC.'!$B$35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cat>
            <c:strRef>
              <c:f>'2.SAIDAS. MUNIC.'!$C$31:$N$31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'2.SAIDAS. MUNIC.'!$C$35:$N$35</c:f>
              <c:numCache>
                <c:formatCode>0%</c:formatCode>
                <c:ptCount val="12"/>
                <c:pt idx="0">
                  <c:v>2.8037383177570093E-2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0.95081967213114749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F-4826-9BD5-B4956CA1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28488"/>
        <c:axId val="243928880"/>
      </c:barChart>
      <c:catAx>
        <c:axId val="243928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3928880"/>
        <c:crosses val="autoZero"/>
        <c:auto val="1"/>
        <c:lblAlgn val="ctr"/>
        <c:lblOffset val="100"/>
        <c:noMultiLvlLbl val="0"/>
      </c:catAx>
      <c:valAx>
        <c:axId val="243928880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INTERNAÇÕES</a:t>
                </a:r>
              </a:p>
            </c:rich>
          </c:tx>
          <c:layout>
            <c:manualLayout>
              <c:xMode val="edge"/>
              <c:yMode val="edge"/>
              <c:x val="1.9150209455415918E-2"/>
              <c:y val="3.1632636117287408E-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43928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MATERNIDADE NÚMERO TOTAL DE PARTOS EM PRIMIGESTAS</a:t>
            </a:r>
          </a:p>
        </c:rich>
      </c:tx>
      <c:layout>
        <c:manualLayout>
          <c:xMode val="edge"/>
          <c:yMode val="edge"/>
          <c:x val="0.36073686691757784"/>
          <c:y val="5.38694967476891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90359439910828E-2"/>
          <c:y val="6.1137538220093622E-2"/>
          <c:w val="0.89823036459594674"/>
          <c:h val="0.74165889012292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'3.taxa obst '!$B$117</c:f>
              <c:strCache>
                <c:ptCount val="1"/>
                <c:pt idx="0">
                  <c:v>Parto Normal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'3.taxa obst '!$C$116:$N$116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'3.taxa obst '!$C$117:$N$117</c:f>
              <c:numCache>
                <c:formatCode>#,##0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21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D19-423D-82F5-C25B6C00B7D0}"/>
            </c:ext>
          </c:extLst>
        </c:ser>
        <c:ser>
          <c:idx val="1"/>
          <c:order val="1"/>
          <c:tx>
            <c:strRef>
              <c:f>'3.taxa obst '!$B$118</c:f>
              <c:strCache>
                <c:ptCount val="1"/>
                <c:pt idx="0">
                  <c:v>Parto Cesárea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'3.taxa obst '!$C$116:$N$116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'3.taxa obst '!$C$118:$N$118</c:f>
              <c:numCache>
                <c:formatCode>#,##0</c:formatCode>
                <c:ptCount val="12"/>
                <c:pt idx="0">
                  <c:v>10</c:v>
                </c:pt>
                <c:pt idx="1">
                  <c:v>3</c:v>
                </c:pt>
                <c:pt idx="2">
                  <c:v>16</c:v>
                </c:pt>
                <c:pt idx="3">
                  <c:v>11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1D19-423D-82F5-C25B6C00B7D0}"/>
            </c:ext>
          </c:extLst>
        </c:ser>
        <c:ser>
          <c:idx val="2"/>
          <c:order val="2"/>
          <c:tx>
            <c:strRef>
              <c:f>'3.taxa obst '!$B$119</c:f>
              <c:strCache>
                <c:ptCount val="1"/>
                <c:pt idx="0">
                  <c:v>Parto Fórceps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'3.taxa obst '!$C$116:$N$116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'3.taxa obst '!$C$119:$N$119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1D19-423D-82F5-C25B6C00B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930056"/>
        <c:axId val="243930448"/>
        <c:axId val="0"/>
      </c:bar3DChart>
      <c:catAx>
        <c:axId val="24393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3930448"/>
        <c:crosses val="autoZero"/>
        <c:auto val="1"/>
        <c:lblAlgn val="ctr"/>
        <c:lblOffset val="100"/>
        <c:noMultiLvlLbl val="0"/>
      </c:catAx>
      <c:valAx>
        <c:axId val="243930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TOTAL - PRIMIGESTAS</a:t>
                </a:r>
              </a:p>
            </c:rich>
          </c:tx>
          <c:layout>
            <c:manualLayout>
              <c:xMode val="edge"/>
              <c:yMode val="edge"/>
              <c:x val="2.0340232775753812E-2"/>
              <c:y val="0.1331604858831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3930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MATERNIDADE NÚMERO TOTAL DE PARTOS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'3.taxa obst '!$B$109</c:f>
              <c:strCache>
                <c:ptCount val="1"/>
                <c:pt idx="0">
                  <c:v>Parto Normal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'3.taxa obst 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'3.taxa obst '!$C$109:$N$109</c:f>
              <c:numCache>
                <c:formatCode>#,##0</c:formatCode>
                <c:ptCount val="12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42</c:v>
                </c:pt>
                <c:pt idx="4">
                  <c:v>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1BC-4493-8AC3-C26E83B0C795}"/>
            </c:ext>
          </c:extLst>
        </c:ser>
        <c:ser>
          <c:idx val="1"/>
          <c:order val="1"/>
          <c:tx>
            <c:strRef>
              <c:f>'3.taxa obst '!$B$110</c:f>
              <c:strCache>
                <c:ptCount val="1"/>
                <c:pt idx="0">
                  <c:v>Parto Normal/Domiciliar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'3.taxa obst 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'3.taxa obst '!$C$110:$N$110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1BC-4493-8AC3-C26E83B0C795}"/>
            </c:ext>
          </c:extLst>
        </c:ser>
        <c:ser>
          <c:idx val="2"/>
          <c:order val="2"/>
          <c:tx>
            <c:strRef>
              <c:f>'3.taxa obst '!$B$111</c:f>
              <c:strCache>
                <c:ptCount val="1"/>
                <c:pt idx="0">
                  <c:v>Parto Cesárea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'3.taxa obst 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'3.taxa obst '!$C$111:$N$111</c:f>
              <c:numCache>
                <c:formatCode>#,##0</c:formatCode>
                <c:ptCount val="12"/>
                <c:pt idx="0">
                  <c:v>20</c:v>
                </c:pt>
                <c:pt idx="1">
                  <c:v>14</c:v>
                </c:pt>
                <c:pt idx="2">
                  <c:v>26</c:v>
                </c:pt>
                <c:pt idx="3">
                  <c:v>20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F1BC-4493-8AC3-C26E83B0C795}"/>
            </c:ext>
          </c:extLst>
        </c:ser>
        <c:ser>
          <c:idx val="3"/>
          <c:order val="3"/>
          <c:tx>
            <c:strRef>
              <c:f>'3.taxa obst '!$B$112</c:f>
              <c:strCache>
                <c:ptCount val="1"/>
                <c:pt idx="0">
                  <c:v>Parto Fórceps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'3.taxa obst 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'3.taxa obst '!$C$112:$N$112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1BC-4493-8AC3-C26E83B0C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719648"/>
        <c:axId val="245720040"/>
        <c:axId val="0"/>
      </c:bar3DChart>
      <c:catAx>
        <c:axId val="2457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5720040"/>
        <c:crosses val="autoZero"/>
        <c:auto val="1"/>
        <c:lblAlgn val="ctr"/>
        <c:lblOffset val="100"/>
        <c:noMultiLvlLbl val="0"/>
      </c:catAx>
      <c:valAx>
        <c:axId val="245720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TOTAL</a:t>
                </a:r>
                <a:r>
                  <a:rPr lang="en-US" baseline="0"/>
                  <a:t> - </a:t>
                </a:r>
                <a:r>
                  <a:rPr lang="en-US" b="1" baseline="0">
                    <a:solidFill>
                      <a:schemeClr val="tx1"/>
                    </a:solidFill>
                  </a:rPr>
                  <a:t>PARTOS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57196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ATENDIMENTOS - MUNICÍPIO - UMTS -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 ATEND. PORTA POR MUNICIPIO'!$B$31</c:f>
              <c:strCache>
                <c:ptCount val="1"/>
                <c:pt idx="0">
                  <c:v>Taboão da Serra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MUNICIPIO'!$C$31:$N$31</c:f>
              <c:numCache>
                <c:formatCode>0%</c:formatCode>
                <c:ptCount val="12"/>
                <c:pt idx="0">
                  <c:v>0.87919969799924502</c:v>
                </c:pt>
                <c:pt idx="1">
                  <c:v>0.88616333725029373</c:v>
                </c:pt>
                <c:pt idx="2">
                  <c:v>0.88755534840363548</c:v>
                </c:pt>
                <c:pt idx="3">
                  <c:v>0.88603107071488429</c:v>
                </c:pt>
                <c:pt idx="4">
                  <c:v>0.88362967504598411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4-4A63-AF41-F93035F0AABF}"/>
            </c:ext>
          </c:extLst>
        </c:ser>
        <c:ser>
          <c:idx val="1"/>
          <c:order val="1"/>
          <c:tx>
            <c:strRef>
              <c:f>'4 ATEND. PORTA POR MUNICIPIO'!$B$32</c:f>
              <c:strCache>
                <c:ptCount val="1"/>
                <c:pt idx="0">
                  <c:v>Embu das Artes</c:v>
                </c:pt>
              </c:strCache>
            </c:strRef>
          </c:tx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MUNICIPIO'!$C$32:$N$32</c:f>
              <c:numCache>
                <c:formatCode>0%</c:formatCode>
                <c:ptCount val="12"/>
                <c:pt idx="0">
                  <c:v>6.9334340002516676E-2</c:v>
                </c:pt>
                <c:pt idx="1">
                  <c:v>6.830199764982374E-2</c:v>
                </c:pt>
                <c:pt idx="2">
                  <c:v>6.9214635283150777E-2</c:v>
                </c:pt>
                <c:pt idx="3">
                  <c:v>7.5098304647714817E-2</c:v>
                </c:pt>
                <c:pt idx="4">
                  <c:v>7.7253218884120178E-2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4-4A63-AF41-F93035F0AABF}"/>
            </c:ext>
          </c:extLst>
        </c:ser>
        <c:ser>
          <c:idx val="2"/>
          <c:order val="2"/>
          <c:tx>
            <c:strRef>
              <c:f>'4 ATEND. PORTA POR MUNICIPIO'!$B$33</c:f>
              <c:strCache>
                <c:ptCount val="1"/>
                <c:pt idx="0">
                  <c:v>São Paulo</c:v>
                </c:pt>
              </c:strCache>
            </c:strRef>
          </c:tx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MUNICIPIO'!$C$33:$N$33</c:f>
              <c:numCache>
                <c:formatCode>0%</c:formatCode>
                <c:ptCount val="12"/>
                <c:pt idx="0">
                  <c:v>4.6621366553416387E-2</c:v>
                </c:pt>
                <c:pt idx="1">
                  <c:v>4.0246768507638073E-2</c:v>
                </c:pt>
                <c:pt idx="2">
                  <c:v>3.8802144022372406E-2</c:v>
                </c:pt>
                <c:pt idx="3">
                  <c:v>3.3842583639528134E-2</c:v>
                </c:pt>
                <c:pt idx="4">
                  <c:v>3.482526057633354E-2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74-4A63-AF41-F93035F0AABF}"/>
            </c:ext>
          </c:extLst>
        </c:ser>
        <c:ser>
          <c:idx val="3"/>
          <c:order val="3"/>
          <c:tx>
            <c:strRef>
              <c:f>'4 ATEND. PORTA POR MUNICIPIO'!$B$34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MUNICIPIO'!$C$34:$N$34</c:f>
              <c:numCache>
                <c:formatCode>0%</c:formatCode>
                <c:ptCount val="12"/>
                <c:pt idx="0">
                  <c:v>4.8445954448219451E-3</c:v>
                </c:pt>
                <c:pt idx="1">
                  <c:v>5.2878965922444187E-3</c:v>
                </c:pt>
                <c:pt idx="2">
                  <c:v>4.4278722908412957E-3</c:v>
                </c:pt>
                <c:pt idx="3">
                  <c:v>5.0280409978727516E-3</c:v>
                </c:pt>
                <c:pt idx="4">
                  <c:v>4.2918454935622317E-3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74-4A63-AF41-F93035F0A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721216"/>
        <c:axId val="245721608"/>
      </c:barChart>
      <c:catAx>
        <c:axId val="245721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721608"/>
        <c:crosses val="autoZero"/>
        <c:auto val="1"/>
        <c:lblAlgn val="ctr"/>
        <c:lblOffset val="100"/>
        <c:noMultiLvlLbl val="0"/>
      </c:catAx>
      <c:valAx>
        <c:axId val="24572160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extTo"/>
        <c:crossAx val="245721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ATENDIMENTOS - MUNICÍPIOS - TOTAL - %</a:t>
            </a:r>
          </a:p>
        </c:rich>
      </c:tx>
      <c:layout>
        <c:manualLayout>
          <c:xMode val="edge"/>
          <c:yMode val="edge"/>
          <c:x val="0.29044136914524388"/>
          <c:y val="4.93370443522495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39973648683843"/>
          <c:y val="0.14957906564222728"/>
          <c:w val="0.74040452600506024"/>
          <c:h val="0.42917113223620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ATEND. PORTA POR MUNICIPIO'!$B$50</c:f>
              <c:strCache>
                <c:ptCount val="1"/>
                <c:pt idx="0">
                  <c:v>TABOÃO DA SERRA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'4 ATEND. PORTA POR MUNICIPIO'!$C$49:$N$49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MUNICIPIO'!$C$50:$N$50</c:f>
              <c:numCache>
                <c:formatCode>0%</c:formatCode>
                <c:ptCount val="12"/>
                <c:pt idx="0">
                  <c:v>0.82956569393067547</c:v>
                </c:pt>
                <c:pt idx="1">
                  <c:v>0.8455849118625961</c:v>
                </c:pt>
                <c:pt idx="2">
                  <c:v>0.83494911784187387</c:v>
                </c:pt>
                <c:pt idx="3">
                  <c:v>0.84303866072503919</c:v>
                </c:pt>
                <c:pt idx="4">
                  <c:v>0.83192075431719459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8-4476-B0AC-2CA824FC2779}"/>
            </c:ext>
          </c:extLst>
        </c:ser>
        <c:ser>
          <c:idx val="1"/>
          <c:order val="1"/>
          <c:tx>
            <c:strRef>
              <c:f>'4 ATEND. PORTA POR MUNICIPIO'!$B$51</c:f>
              <c:strCache>
                <c:ptCount val="1"/>
                <c:pt idx="0">
                  <c:v>EMBU</c:v>
                </c:pt>
              </c:strCache>
            </c:strRef>
          </c:tx>
          <c:invertIfNegative val="0"/>
          <c:cat>
            <c:strRef>
              <c:f>'4 ATEND. PORTA POR MUNICIPIO'!$C$49:$N$49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MUNICIPIO'!$C$51:$N$51</c:f>
              <c:numCache>
                <c:formatCode>0%</c:formatCode>
                <c:ptCount val="12"/>
                <c:pt idx="0">
                  <c:v>0.10763118235374709</c:v>
                </c:pt>
                <c:pt idx="1">
                  <c:v>9.6971689197518182E-2</c:v>
                </c:pt>
                <c:pt idx="2">
                  <c:v>0.10998374179562835</c:v>
                </c:pt>
                <c:pt idx="3">
                  <c:v>0.10231241719860291</c:v>
                </c:pt>
                <c:pt idx="4">
                  <c:v>0.10676448776353427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8-4476-B0AC-2CA824FC2779}"/>
            </c:ext>
          </c:extLst>
        </c:ser>
        <c:ser>
          <c:idx val="2"/>
          <c:order val="2"/>
          <c:tx>
            <c:strRef>
              <c:f>'4 ATEND. PORTA POR MUNICIPIO'!$B$52</c:f>
              <c:strCache>
                <c:ptCount val="1"/>
                <c:pt idx="0">
                  <c:v>SÃO PAULO</c:v>
                </c:pt>
              </c:strCache>
            </c:strRef>
          </c:tx>
          <c:invertIfNegative val="0"/>
          <c:cat>
            <c:strRef>
              <c:f>'4 ATEND. PORTA POR MUNICIPIO'!$C$49:$N$49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MUNICIPIO'!$C$52:$N$52</c:f>
              <c:numCache>
                <c:formatCode>0%</c:formatCode>
                <c:ptCount val="12"/>
                <c:pt idx="0">
                  <c:v>5.7295519934237565E-2</c:v>
                </c:pt>
                <c:pt idx="1">
                  <c:v>5.1362123515634628E-2</c:v>
                </c:pt>
                <c:pt idx="2">
                  <c:v>4.9045583187812367E-2</c:v>
                </c:pt>
                <c:pt idx="3">
                  <c:v>4.8416235095748522E-2</c:v>
                </c:pt>
                <c:pt idx="4">
                  <c:v>5.5964614895645727E-2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8-4476-B0AC-2CA824FC2779}"/>
            </c:ext>
          </c:extLst>
        </c:ser>
        <c:ser>
          <c:idx val="3"/>
          <c:order val="3"/>
          <c:tx>
            <c:strRef>
              <c:f>'4 ATEND. PORTA POR MUNICIPIO'!$B$53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cat>
            <c:strRef>
              <c:f>'4 ATEND. PORTA POR MUNICIPIO'!$C$49:$N$49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MUNICIPIO'!$C$53:$N$53</c:f>
              <c:numCache>
                <c:formatCode>0%</c:formatCode>
                <c:ptCount val="12"/>
                <c:pt idx="0">
                  <c:v>5.5076037813399092E-3</c:v>
                </c:pt>
                <c:pt idx="1">
                  <c:v>6.08127542425114E-3</c:v>
                </c:pt>
                <c:pt idx="2">
                  <c:v>6.0215571746853732E-3</c:v>
                </c:pt>
                <c:pt idx="3">
                  <c:v>6.2326869806094186E-3</c:v>
                </c:pt>
                <c:pt idx="4">
                  <c:v>5.3501430236253837E-3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8-4476-B0AC-2CA824FC2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56248"/>
        <c:axId val="247256640"/>
      </c:barChart>
      <c:catAx>
        <c:axId val="247256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7256640"/>
        <c:crossesAt val="0"/>
        <c:auto val="1"/>
        <c:lblAlgn val="ctr"/>
        <c:lblOffset val="100"/>
        <c:noMultiLvlLbl val="0"/>
      </c:catAx>
      <c:valAx>
        <c:axId val="247256640"/>
        <c:scaling>
          <c:orientation val="minMax"/>
          <c:max val="0.9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extTo"/>
        <c:crossAx val="247256248"/>
        <c:crosses val="autoZero"/>
        <c:crossBetween val="between"/>
        <c:majorUnit val="0.1"/>
        <c:minorUnit val="2.0000000000000004E-2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ATENDIMENTOS - MUNICÍPIO - UPA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098667899199557"/>
          <c:y val="0.14607881945160175"/>
          <c:w val="0.79901332100800437"/>
          <c:h val="0.486985996744533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ATEND. PORTA POR MUNICIPIO'!$B$36</c:f>
              <c:strCache>
                <c:ptCount val="1"/>
                <c:pt idx="0">
                  <c:v>Taboão da Serra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MUNICIPIO'!$C$36:$N$36</c:f>
              <c:numCache>
                <c:formatCode>0%</c:formatCode>
                <c:ptCount val="12"/>
                <c:pt idx="0">
                  <c:v>0.89004827908425477</c:v>
                </c:pt>
                <c:pt idx="1">
                  <c:v>0.88488314271506718</c:v>
                </c:pt>
                <c:pt idx="2">
                  <c:v>0.84904754282055384</c:v>
                </c:pt>
                <c:pt idx="3">
                  <c:v>0.87355898945302923</c:v>
                </c:pt>
                <c:pt idx="4">
                  <c:v>0.87477114610032958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1-4F19-B94A-C95EB849561D}"/>
            </c:ext>
          </c:extLst>
        </c:ser>
        <c:ser>
          <c:idx val="1"/>
          <c:order val="1"/>
          <c:tx>
            <c:strRef>
              <c:f>'4 ATEND. PORTA POR MUNICIPIO'!$B$37</c:f>
              <c:strCache>
                <c:ptCount val="1"/>
                <c:pt idx="0">
                  <c:v>Embu das Artes</c:v>
                </c:pt>
              </c:strCache>
            </c:strRef>
          </c:tx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MUNICIPIO'!$C$37:$N$37</c:f>
              <c:numCache>
                <c:formatCode>0%</c:formatCode>
                <c:ptCount val="12"/>
                <c:pt idx="0">
                  <c:v>4.0414265690702382E-2</c:v>
                </c:pt>
                <c:pt idx="1">
                  <c:v>4.3262058677274985E-2</c:v>
                </c:pt>
                <c:pt idx="2">
                  <c:v>7.2514807107411552E-2</c:v>
                </c:pt>
                <c:pt idx="3">
                  <c:v>4.6112337503065981E-2</c:v>
                </c:pt>
                <c:pt idx="4">
                  <c:v>4.3848407176858291E-2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1-4F19-B94A-C95EB849561D}"/>
            </c:ext>
          </c:extLst>
        </c:ser>
        <c:ser>
          <c:idx val="2"/>
          <c:order val="2"/>
          <c:tx>
            <c:strRef>
              <c:f>'4 ATEND. PORTA POR MUNICIPIO'!$B$38</c:f>
              <c:strCache>
                <c:ptCount val="1"/>
                <c:pt idx="0">
                  <c:v>São Paulo</c:v>
                </c:pt>
              </c:strCache>
            </c:strRef>
          </c:tx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MUNICIPIO'!$C$38:$N$38</c:f>
              <c:numCache>
                <c:formatCode>0%</c:formatCode>
                <c:ptCount val="12"/>
                <c:pt idx="0">
                  <c:v>6.2918548512692726E-2</c:v>
                </c:pt>
                <c:pt idx="1">
                  <c:v>6.4644455494778721E-2</c:v>
                </c:pt>
                <c:pt idx="2">
                  <c:v>7.1074115575476229E-2</c:v>
                </c:pt>
                <c:pt idx="3">
                  <c:v>7.0026980623007107E-2</c:v>
                </c:pt>
                <c:pt idx="4">
                  <c:v>7.3233247894544121E-2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1-4F19-B94A-C95EB849561D}"/>
            </c:ext>
          </c:extLst>
        </c:ser>
        <c:ser>
          <c:idx val="3"/>
          <c:order val="3"/>
          <c:tx>
            <c:strRef>
              <c:f>'4 ATEND. PORTA POR MUNICIPIO'!$B$39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MUNICIPIO'!$C$39:$N$39</c:f>
              <c:numCache>
                <c:formatCode>0%</c:formatCode>
                <c:ptCount val="12"/>
                <c:pt idx="0">
                  <c:v>6.6189067123501016E-3</c:v>
                </c:pt>
                <c:pt idx="1">
                  <c:v>7.2103431128791645E-3</c:v>
                </c:pt>
                <c:pt idx="2">
                  <c:v>7.363534496558348E-3</c:v>
                </c:pt>
                <c:pt idx="3">
                  <c:v>1.0301692420897719E-2</c:v>
                </c:pt>
                <c:pt idx="4">
                  <c:v>8.1471988282680336E-3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1-4F19-B94A-C95EB8495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57816"/>
        <c:axId val="247258208"/>
      </c:barChart>
      <c:catAx>
        <c:axId val="247257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7258208"/>
        <c:crosses val="autoZero"/>
        <c:auto val="1"/>
        <c:lblAlgn val="ctr"/>
        <c:lblOffset val="100"/>
        <c:noMultiLvlLbl val="0"/>
      </c:catAx>
      <c:valAx>
        <c:axId val="24725820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extTo"/>
        <c:crossAx val="2472578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ATENDIMENTOS - MUNCÍPIO - PSI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 ATEND. PORTA POR MUNICIPIO'!$B$41</c:f>
              <c:strCache>
                <c:ptCount val="1"/>
                <c:pt idx="0">
                  <c:v>Taboão da Serra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MUNICIPIO'!$C$41:$N$41</c:f>
              <c:numCache>
                <c:formatCode>0%</c:formatCode>
                <c:ptCount val="12"/>
                <c:pt idx="0">
                  <c:v>0.62778708596468613</c:v>
                </c:pt>
                <c:pt idx="1">
                  <c:v>0.73951336020301539</c:v>
                </c:pt>
                <c:pt idx="2">
                  <c:v>0.73385698255636034</c:v>
                </c:pt>
                <c:pt idx="3">
                  <c:v>0.74709271870089056</c:v>
                </c:pt>
                <c:pt idx="4">
                  <c:v>0.70727998479376541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C-4395-8959-9EF77E7BDB0A}"/>
            </c:ext>
          </c:extLst>
        </c:ser>
        <c:ser>
          <c:idx val="1"/>
          <c:order val="1"/>
          <c:tx>
            <c:strRef>
              <c:f>'4 ATEND. PORTA POR MUNICIPIO'!$B$42</c:f>
              <c:strCache>
                <c:ptCount val="1"/>
                <c:pt idx="0">
                  <c:v>Embu das Artes</c:v>
                </c:pt>
              </c:strCache>
            </c:strRef>
          </c:tx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MUNICIPIO'!$C$42:$N$42</c:f>
              <c:numCache>
                <c:formatCode>0%</c:formatCode>
                <c:ptCount val="12"/>
                <c:pt idx="0">
                  <c:v>0.297332130429179</c:v>
                </c:pt>
                <c:pt idx="1">
                  <c:v>0.18749067024929095</c:v>
                </c:pt>
                <c:pt idx="2">
                  <c:v>0.20524329286952975</c:v>
                </c:pt>
                <c:pt idx="3">
                  <c:v>0.19455212152959664</c:v>
                </c:pt>
                <c:pt idx="4">
                  <c:v>0.21782931001710701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C-4395-8959-9EF77E7BDB0A}"/>
            </c:ext>
          </c:extLst>
        </c:ser>
        <c:ser>
          <c:idx val="2"/>
          <c:order val="2"/>
          <c:tx>
            <c:strRef>
              <c:f>'4 ATEND. PORTA POR MUNICIPIO'!$B$43</c:f>
              <c:strCache>
                <c:ptCount val="1"/>
                <c:pt idx="0">
                  <c:v>São Paulo</c:v>
                </c:pt>
              </c:strCache>
            </c:strRef>
          </c:tx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MUNICIPIO'!$C$43:$N$43</c:f>
              <c:numCache>
                <c:formatCode>0%</c:formatCode>
                <c:ptCount val="12"/>
                <c:pt idx="0">
                  <c:v>6.9854362675602522E-2</c:v>
                </c:pt>
                <c:pt idx="1">
                  <c:v>6.5979997014479777E-2</c:v>
                </c:pt>
                <c:pt idx="2">
                  <c:v>5.2942976639804143E-2</c:v>
                </c:pt>
                <c:pt idx="3">
                  <c:v>5.3640649554740703E-2</c:v>
                </c:pt>
                <c:pt idx="4">
                  <c:v>7.0804029652157388E-2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3C-4395-8959-9EF77E7BDB0A}"/>
            </c:ext>
          </c:extLst>
        </c:ser>
        <c:ser>
          <c:idx val="3"/>
          <c:order val="3"/>
          <c:tx>
            <c:strRef>
              <c:f>'4 ATEND. PORTA POR MUNICIPIO'!$B$44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cat>
            <c:strRef>
              <c:f>'4 ATEND. PORTA POR MUNICIPIO'!$C$30:$N$30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'4 ATEND. PORTA POR MUNICIPIO'!$C$44:$N$44</c:f>
              <c:numCache>
                <c:formatCode>0%</c:formatCode>
                <c:ptCount val="12"/>
                <c:pt idx="0">
                  <c:v>5.0264209305322851E-3</c:v>
                </c:pt>
                <c:pt idx="1">
                  <c:v>7.0159725332139128E-3</c:v>
                </c:pt>
                <c:pt idx="2">
                  <c:v>7.9567479343058255E-3</c:v>
                </c:pt>
                <c:pt idx="3">
                  <c:v>4.7145102147721323E-3</c:v>
                </c:pt>
                <c:pt idx="4">
                  <c:v>4.0866755369701581E-3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3C-4395-8959-9EF77E7BD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59384"/>
        <c:axId val="247259776"/>
      </c:barChart>
      <c:catAx>
        <c:axId val="247259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7259776"/>
        <c:crosses val="autoZero"/>
        <c:auto val="1"/>
        <c:lblAlgn val="ctr"/>
        <c:lblOffset val="100"/>
        <c:noMultiLvlLbl val="0"/>
      </c:catAx>
      <c:valAx>
        <c:axId val="24725977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extTo"/>
        <c:crossAx val="247259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'1.cont x real'!$C$108:$N$108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'1.cont x real'!$C$110:$N$110</c:f>
              <c:numCache>
                <c:formatCode>#,##0</c:formatCode>
                <c:ptCount val="12"/>
                <c:pt idx="0">
                  <c:v>452</c:v>
                </c:pt>
                <c:pt idx="1">
                  <c:v>371</c:v>
                </c:pt>
                <c:pt idx="2">
                  <c:v>439</c:v>
                </c:pt>
                <c:pt idx="3">
                  <c:v>442</c:v>
                </c:pt>
                <c:pt idx="4">
                  <c:v>499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0BC-4C73-ACC1-C7A130DF7A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Exames: RX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56777546322032"/>
          <c:y val="0.1628093137781827"/>
          <c:w val="0.83209567174147137"/>
          <c:h val="0.54396089615061982"/>
        </c:manualLayout>
      </c:layout>
      <c:barChart>
        <c:barDir val="col"/>
        <c:grouping val="clustered"/>
        <c:varyColors val="0"/>
        <c:ser>
          <c:idx val="0"/>
          <c:order val="0"/>
          <c:tx>
            <c:v>UMTS (RAIO X)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'6.Exames'!$C$2:$N$2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'6.Exames'!$C$4:$N$4</c:f>
              <c:numCache>
                <c:formatCode>#,##0</c:formatCode>
                <c:ptCount val="12"/>
                <c:pt idx="0">
                  <c:v>4347</c:v>
                </c:pt>
                <c:pt idx="1">
                  <c:v>4396</c:v>
                </c:pt>
                <c:pt idx="2">
                  <c:v>5553</c:v>
                </c:pt>
                <c:pt idx="3">
                  <c:v>5320</c:v>
                </c:pt>
                <c:pt idx="4">
                  <c:v>5215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B-4DCE-8112-86702E7EBBA1}"/>
            </c:ext>
          </c:extLst>
        </c:ser>
        <c:ser>
          <c:idx val="1"/>
          <c:order val="1"/>
          <c:tx>
            <c:v>UPA (RAIO X)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'6.Exames'!$C$2:$N$2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'6.Exames'!$C$8:$N$8</c:f>
              <c:numCache>
                <c:formatCode>#,##0</c:formatCode>
                <c:ptCount val="12"/>
                <c:pt idx="0">
                  <c:v>1081</c:v>
                </c:pt>
                <c:pt idx="1">
                  <c:v>736</c:v>
                </c:pt>
                <c:pt idx="2">
                  <c:v>1957</c:v>
                </c:pt>
                <c:pt idx="3">
                  <c:v>1498</c:v>
                </c:pt>
                <c:pt idx="4">
                  <c:v>2403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B-4DCE-8112-86702E7EBBA1}"/>
            </c:ext>
          </c:extLst>
        </c:ser>
        <c:ser>
          <c:idx val="2"/>
          <c:order val="2"/>
          <c:tx>
            <c:v>PIS (RAIO X)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'6.Exames'!$C$2:$N$2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'6.Exames'!$C$12:$N$12</c:f>
              <c:numCache>
                <c:formatCode>#,##0</c:formatCode>
                <c:ptCount val="12"/>
                <c:pt idx="0">
                  <c:v>4422</c:v>
                </c:pt>
                <c:pt idx="1">
                  <c:v>1200</c:v>
                </c:pt>
                <c:pt idx="2">
                  <c:v>164</c:v>
                </c:pt>
                <c:pt idx="3">
                  <c:v>2189</c:v>
                </c:pt>
                <c:pt idx="4">
                  <c:v>3173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B-4DCE-8112-86702E7EB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105472"/>
        <c:axId val="246105864"/>
      </c:barChart>
      <c:catAx>
        <c:axId val="2461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105864"/>
        <c:crosses val="autoZero"/>
        <c:auto val="1"/>
        <c:lblAlgn val="ctr"/>
        <c:lblOffset val="100"/>
        <c:noMultiLvlLbl val="0"/>
      </c:catAx>
      <c:valAx>
        <c:axId val="2461058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10547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Exames: Laboratoriais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'6.Exames'!$A$5:$B$5</c:f>
              <c:strCache>
                <c:ptCount val="2"/>
                <c:pt idx="0">
                  <c:v>UMTS</c:v>
                </c:pt>
                <c:pt idx="1">
                  <c:v>Laboratoriais/Coletados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'6.Exames'!$C$2:$N$2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'6.Exames'!$C$5:$N$5</c:f>
              <c:numCache>
                <c:formatCode>#,##0</c:formatCode>
                <c:ptCount val="12"/>
                <c:pt idx="0">
                  <c:v>18973</c:v>
                </c:pt>
                <c:pt idx="1">
                  <c:v>17434</c:v>
                </c:pt>
                <c:pt idx="2">
                  <c:v>19450</c:v>
                </c:pt>
                <c:pt idx="3">
                  <c:v>18916</c:v>
                </c:pt>
                <c:pt idx="4">
                  <c:v>20716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2-4BB4-A9DB-20CB04C0945F}"/>
            </c:ext>
          </c:extLst>
        </c:ser>
        <c:ser>
          <c:idx val="1"/>
          <c:order val="1"/>
          <c:tx>
            <c:strRef>
              <c:f>'6.Exames'!$A$9:$B$9</c:f>
              <c:strCache>
                <c:ptCount val="2"/>
                <c:pt idx="0">
                  <c:v>UPA</c:v>
                </c:pt>
                <c:pt idx="1">
                  <c:v>Laboratoriais/Coletados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'6.Exames'!$C$2:$N$2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'6.Exames'!$C$9:$N$9</c:f>
              <c:numCache>
                <c:formatCode>#,##0</c:formatCode>
                <c:ptCount val="12"/>
                <c:pt idx="0">
                  <c:v>6159</c:v>
                </c:pt>
                <c:pt idx="1">
                  <c:v>3287</c:v>
                </c:pt>
                <c:pt idx="2">
                  <c:v>5735</c:v>
                </c:pt>
                <c:pt idx="3">
                  <c:v>7549</c:v>
                </c:pt>
                <c:pt idx="4">
                  <c:v>11001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2-4BB4-A9DB-20CB04C0945F}"/>
            </c:ext>
          </c:extLst>
        </c:ser>
        <c:ser>
          <c:idx val="2"/>
          <c:order val="2"/>
          <c:tx>
            <c:strRef>
              <c:f>'6.Exames'!$A$13:$B$13</c:f>
              <c:strCache>
                <c:ptCount val="2"/>
                <c:pt idx="0">
                  <c:v>PSI</c:v>
                </c:pt>
                <c:pt idx="1">
                  <c:v>Laboratoriais/Coletados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'6.Exames'!$C$2:$N$2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'6.Exames'!$C$13:$N$13</c:f>
              <c:numCache>
                <c:formatCode>#,##0</c:formatCode>
                <c:ptCount val="12"/>
                <c:pt idx="0">
                  <c:v>5533</c:v>
                </c:pt>
                <c:pt idx="1">
                  <c:v>4301</c:v>
                </c:pt>
                <c:pt idx="2">
                  <c:v>5878</c:v>
                </c:pt>
                <c:pt idx="3">
                  <c:v>5212</c:v>
                </c:pt>
                <c:pt idx="4">
                  <c:v>5280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F2-4BB4-A9DB-20CB04C09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107040"/>
        <c:axId val="246107432"/>
      </c:barChart>
      <c:catAx>
        <c:axId val="2461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107432"/>
        <c:crosses val="autoZero"/>
        <c:auto val="1"/>
        <c:lblAlgn val="ctr"/>
        <c:lblOffset val="100"/>
        <c:noMultiLvlLbl val="0"/>
      </c:catAx>
      <c:valAx>
        <c:axId val="2461074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10704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Exames: Eletrocardiograma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UMTS / ELETROCARDIOGRAMA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'6.Exames'!$C$2:$N$2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'6.Exames'!$C$3:$N$3</c:f>
              <c:numCache>
                <c:formatCode>#,##0</c:formatCode>
                <c:ptCount val="12"/>
                <c:pt idx="0">
                  <c:v>728</c:v>
                </c:pt>
                <c:pt idx="1">
                  <c:v>734</c:v>
                </c:pt>
                <c:pt idx="2">
                  <c:v>806</c:v>
                </c:pt>
                <c:pt idx="3">
                  <c:v>879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4-4B23-8331-89C3AB8E0CBF}"/>
            </c:ext>
          </c:extLst>
        </c:ser>
        <c:ser>
          <c:idx val="1"/>
          <c:order val="1"/>
          <c:tx>
            <c:v>UPA / ELETROCARDIOGRAMA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'6.Exames'!$C$2:$N$2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'6.Exames'!$C$7:$N$7</c:f>
              <c:numCache>
                <c:formatCode>#,##0</c:formatCode>
                <c:ptCount val="12"/>
                <c:pt idx="0">
                  <c:v>205</c:v>
                </c:pt>
                <c:pt idx="1">
                  <c:v>119</c:v>
                </c:pt>
                <c:pt idx="2">
                  <c:v>78</c:v>
                </c:pt>
                <c:pt idx="3">
                  <c:v>217</c:v>
                </c:pt>
                <c:pt idx="4">
                  <c:v>498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4-4B23-8331-89C3AB8E0CBF}"/>
            </c:ext>
          </c:extLst>
        </c:ser>
        <c:ser>
          <c:idx val="2"/>
          <c:order val="2"/>
          <c:tx>
            <c:v>PSI / ELETROCARDIOGRAMA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'6.Exames'!$C$2:$N$2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'6.Exames'!$C$11:$N$11</c:f>
              <c:numCache>
                <c:formatCode>#,##0</c:formatCode>
                <c:ptCount val="12"/>
                <c:pt idx="0">
                  <c:v>12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D4-4B23-8331-89C3AB8E0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89856"/>
        <c:axId val="246590248"/>
      </c:barChart>
      <c:catAx>
        <c:axId val="24658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590248"/>
        <c:crosses val="autoZero"/>
        <c:auto val="1"/>
        <c:lblAlgn val="ctr"/>
        <c:lblOffset val="100"/>
        <c:noMultiLvlLbl val="0"/>
      </c:catAx>
      <c:valAx>
        <c:axId val="2465902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589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>
            <a:softEdge rad="0"/>
          </a:effectLst>
        </c:spPr>
        <c:txPr>
          <a:bodyPr rot="0" spcFirstLastPara="1" vertOverflow="ellipsis" vert="horz" wrap="square" anchor="ctr" anchorCtr="1"/>
          <a:lstStyle/>
          <a:p>
            <a:pPr algn="ctr" rtl="0"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Liberação de dietas por unidades 2022</a:t>
            </a:r>
            <a:endParaRPr lang="pt-BR" sz="14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'7.UAN'!$B$6</c:f>
              <c:strCache>
                <c:ptCount val="1"/>
                <c:pt idx="0">
                  <c:v>Número de Refeições UMTS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'7.UAN'!$C$5:$N$5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'7.UAN'!$C$6:$N$6</c:f>
              <c:numCache>
                <c:formatCode>#,##0</c:formatCode>
                <c:ptCount val="12"/>
                <c:pt idx="0">
                  <c:v>8681</c:v>
                </c:pt>
                <c:pt idx="1">
                  <c:v>8505</c:v>
                </c:pt>
                <c:pt idx="2">
                  <c:v>8859</c:v>
                </c:pt>
                <c:pt idx="3">
                  <c:v>8532</c:v>
                </c:pt>
                <c:pt idx="4">
                  <c:v>9086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0-4C1C-991D-A8B0A2F6B2D6}"/>
            </c:ext>
          </c:extLst>
        </c:ser>
        <c:ser>
          <c:idx val="1"/>
          <c:order val="1"/>
          <c:tx>
            <c:strRef>
              <c:f>'7.UAN'!$B$12</c:f>
              <c:strCache>
                <c:ptCount val="1"/>
                <c:pt idx="0">
                  <c:v>Número de Refeições UPA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'7.UAN'!$C$5:$N$5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'7.UAN'!$C$12:$N$12</c:f>
              <c:numCache>
                <c:formatCode>#,##0</c:formatCode>
                <c:ptCount val="12"/>
                <c:pt idx="0">
                  <c:v>4693</c:v>
                </c:pt>
                <c:pt idx="1">
                  <c:v>3457</c:v>
                </c:pt>
                <c:pt idx="2">
                  <c:v>6023</c:v>
                </c:pt>
                <c:pt idx="3">
                  <c:v>4414</c:v>
                </c:pt>
                <c:pt idx="4">
                  <c:v>4558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0-4C1C-991D-A8B0A2F6B2D6}"/>
            </c:ext>
          </c:extLst>
        </c:ser>
        <c:ser>
          <c:idx val="2"/>
          <c:order val="2"/>
          <c:tx>
            <c:strRef>
              <c:f>'7.UAN'!$B$18</c:f>
              <c:strCache>
                <c:ptCount val="1"/>
                <c:pt idx="0">
                  <c:v>Número de Refeições PSI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'7.UAN'!$C$5:$N$5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'7.UAN'!$C$18:$N$18</c:f>
              <c:numCache>
                <c:formatCode>#,##0</c:formatCode>
                <c:ptCount val="12"/>
                <c:pt idx="0">
                  <c:v>5375</c:v>
                </c:pt>
                <c:pt idx="1">
                  <c:v>4160</c:v>
                </c:pt>
                <c:pt idx="2">
                  <c:v>4090</c:v>
                </c:pt>
                <c:pt idx="3">
                  <c:v>4950</c:v>
                </c:pt>
                <c:pt idx="4">
                  <c:v>5204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0-4C1C-991D-A8B0A2F6B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91424"/>
        <c:axId val="246591816"/>
      </c:barChart>
      <c:catAx>
        <c:axId val="24659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591816"/>
        <c:crosses val="autoZero"/>
        <c:auto val="1"/>
        <c:lblAlgn val="ctr"/>
        <c:lblOffset val="100"/>
        <c:noMultiLvlLbl val="0"/>
      </c:catAx>
      <c:valAx>
        <c:axId val="2465918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59142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Liberação dieta enteral por unidades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'7.UAN'!$B$7</c:f>
              <c:strCache>
                <c:ptCount val="1"/>
                <c:pt idx="0">
                  <c:v>Dieta Enteral UMTS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'7.UAN'!$C$5:$N$5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'7.UAN'!$C$7:$N$7</c:f>
              <c:numCache>
                <c:formatCode>#,##0</c:formatCode>
                <c:ptCount val="12"/>
                <c:pt idx="0">
                  <c:v>514</c:v>
                </c:pt>
                <c:pt idx="1">
                  <c:v>570</c:v>
                </c:pt>
                <c:pt idx="2">
                  <c:v>477</c:v>
                </c:pt>
                <c:pt idx="3">
                  <c:v>706</c:v>
                </c:pt>
                <c:pt idx="4">
                  <c:v>410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0-49FF-A144-B7C490185BC9}"/>
            </c:ext>
          </c:extLst>
        </c:ser>
        <c:ser>
          <c:idx val="1"/>
          <c:order val="1"/>
          <c:tx>
            <c:strRef>
              <c:f>'7.UAN'!$B$13</c:f>
              <c:strCache>
                <c:ptCount val="1"/>
                <c:pt idx="0">
                  <c:v>Dieta Enteral UPA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'7.UAN'!$C$5:$N$5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'7.UAN'!$C$13:$N$13</c:f>
              <c:numCache>
                <c:formatCode>#,##0</c:formatCode>
                <c:ptCount val="12"/>
                <c:pt idx="0">
                  <c:v>267</c:v>
                </c:pt>
                <c:pt idx="1">
                  <c:v>253</c:v>
                </c:pt>
                <c:pt idx="2">
                  <c:v>173</c:v>
                </c:pt>
                <c:pt idx="3">
                  <c:v>76</c:v>
                </c:pt>
                <c:pt idx="4">
                  <c:v>187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0-49FF-A144-B7C490185BC9}"/>
            </c:ext>
          </c:extLst>
        </c:ser>
        <c:ser>
          <c:idx val="2"/>
          <c:order val="2"/>
          <c:tx>
            <c:strRef>
              <c:f>'7.UAN'!$B$19</c:f>
              <c:strCache>
                <c:ptCount val="1"/>
                <c:pt idx="0">
                  <c:v>Dieta Enteral PSI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'7.UAN'!$C$5:$N$5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'7.UAN'!$C$19:$N$19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D0-49FF-A144-B7C490185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29992"/>
        <c:axId val="243130384"/>
      </c:barChart>
      <c:catAx>
        <c:axId val="24312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3130384"/>
        <c:crosses val="autoZero"/>
        <c:auto val="1"/>
        <c:lblAlgn val="ctr"/>
        <c:lblOffset val="100"/>
        <c:noMultiLvlLbl val="0"/>
      </c:catAx>
      <c:valAx>
        <c:axId val="2431303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312999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Mamadeiras por unidades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'7.UAN'!$B$8</c:f>
              <c:strCache>
                <c:ptCount val="1"/>
                <c:pt idx="0">
                  <c:v>Mamadeira UMTS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'7.UAN'!$C$5:$N$5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'7.UAN'!$C$8:$N$8</c:f>
              <c:numCache>
                <c:formatCode>#,##0</c:formatCode>
                <c:ptCount val="12"/>
                <c:pt idx="0">
                  <c:v>149</c:v>
                </c:pt>
                <c:pt idx="1">
                  <c:v>139</c:v>
                </c:pt>
                <c:pt idx="2">
                  <c:v>114</c:v>
                </c:pt>
                <c:pt idx="3">
                  <c:v>145</c:v>
                </c:pt>
                <c:pt idx="4">
                  <c:v>155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5-49DF-B747-36B9100D370D}"/>
            </c:ext>
          </c:extLst>
        </c:ser>
        <c:ser>
          <c:idx val="1"/>
          <c:order val="1"/>
          <c:tx>
            <c:strRef>
              <c:f>'7.UAN'!$B$14</c:f>
              <c:strCache>
                <c:ptCount val="1"/>
                <c:pt idx="0">
                  <c:v>Mamadeira UPA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'7.UAN'!$C$5:$N$5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'7.UAN'!$C$14:$N$14</c:f>
              <c:numCache>
                <c:formatCode>#,##0</c:formatCode>
                <c:ptCount val="12"/>
                <c:pt idx="0">
                  <c:v>0</c:v>
                </c:pt>
                <c:pt idx="1">
                  <c:v>94</c:v>
                </c:pt>
                <c:pt idx="2">
                  <c:v>653</c:v>
                </c:pt>
                <c:pt idx="3">
                  <c:v>363</c:v>
                </c:pt>
                <c:pt idx="4">
                  <c:v>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A5-49DF-B747-36B9100D370D}"/>
            </c:ext>
          </c:extLst>
        </c:ser>
        <c:ser>
          <c:idx val="2"/>
          <c:order val="2"/>
          <c:tx>
            <c:strRef>
              <c:f>'7.UAN'!$B$20</c:f>
              <c:strCache>
                <c:ptCount val="1"/>
                <c:pt idx="0">
                  <c:v>Mamadeira PSI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'7.UAN'!$C$5:$N$5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'7.UAN'!$C$20:$N$20</c:f>
              <c:numCache>
                <c:formatCode>#,##0</c:formatCode>
                <c:ptCount val="12"/>
                <c:pt idx="0">
                  <c:v>1072</c:v>
                </c:pt>
                <c:pt idx="1">
                  <c:v>558</c:v>
                </c:pt>
                <c:pt idx="2">
                  <c:v>301</c:v>
                </c:pt>
                <c:pt idx="3">
                  <c:v>833</c:v>
                </c:pt>
                <c:pt idx="4">
                  <c:v>938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A5-49DF-B747-36B9100D3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31560"/>
        <c:axId val="243131952"/>
      </c:barChart>
      <c:catAx>
        <c:axId val="2431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3131952"/>
        <c:crosses val="autoZero"/>
        <c:auto val="1"/>
        <c:lblAlgn val="ctr"/>
        <c:lblOffset val="100"/>
        <c:noMultiLvlLbl val="0"/>
      </c:catAx>
      <c:valAx>
        <c:axId val="2431319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31315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LAVANDERIA ( UMTS) - 2022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'8.Lavanderia'!$A$68</c:f>
              <c:strCache>
                <c:ptCount val="1"/>
                <c:pt idx="0">
                  <c:v>Kg Roupas Lavadas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'8.Lavanderia'!$B$67:$M$67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'8.Lavanderia'!$B$68:$M$68</c:f>
              <c:numCache>
                <c:formatCode>#,##0</c:formatCode>
                <c:ptCount val="12"/>
                <c:pt idx="0">
                  <c:v>10813</c:v>
                </c:pt>
                <c:pt idx="1">
                  <c:v>11538</c:v>
                </c:pt>
                <c:pt idx="2">
                  <c:v>9417</c:v>
                </c:pt>
                <c:pt idx="3">
                  <c:v>10885.6</c:v>
                </c:pt>
                <c:pt idx="4">
                  <c:v>10358.700000000001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0-4810-B881-17247F5BE452}"/>
            </c:ext>
          </c:extLst>
        </c:ser>
        <c:ser>
          <c:idx val="1"/>
          <c:order val="1"/>
          <c:tx>
            <c:strRef>
              <c:f>'8.Lavanderia'!$A$70</c:f>
              <c:strCache>
                <c:ptCount val="1"/>
                <c:pt idx="0">
                  <c:v>Média Kg Roupa / 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'8.Lavanderia'!$B$67:$M$67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'8.Lavanderia'!$B$70:$M$70</c:f>
              <c:numCache>
                <c:formatCode>#,##0</c:formatCode>
                <c:ptCount val="12"/>
                <c:pt idx="0">
                  <c:v>348.80645161290323</c:v>
                </c:pt>
                <c:pt idx="1">
                  <c:v>412.07142857142856</c:v>
                </c:pt>
                <c:pt idx="2">
                  <c:v>303.77419354838707</c:v>
                </c:pt>
                <c:pt idx="3">
                  <c:v>362.85333333333335</c:v>
                </c:pt>
                <c:pt idx="4">
                  <c:v>334.15161290322584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0-4810-B881-17247F5BE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332976"/>
        <c:axId val="247333368"/>
      </c:barChart>
      <c:catAx>
        <c:axId val="24733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7333368"/>
        <c:crosses val="autoZero"/>
        <c:auto val="1"/>
        <c:lblAlgn val="ctr"/>
        <c:lblOffset val="100"/>
        <c:noMultiLvlLbl val="0"/>
      </c:catAx>
      <c:valAx>
        <c:axId val="247333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UMTS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7332976"/>
        <c:crosses val="autoZero"/>
        <c:crossBetween val="between"/>
        <c:majorUnit val="1000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LAVANDERIA (UPA) - 2022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'8.Lavanderia'!$A$73</c:f>
              <c:strCache>
                <c:ptCount val="1"/>
                <c:pt idx="0">
                  <c:v>Kg Roupas Lavadas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'8.Lavanderia'!$B$72:$M$72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'8.Lavanderia'!$B$73:$M$73</c:f>
              <c:numCache>
                <c:formatCode>#,##0</c:formatCode>
                <c:ptCount val="12"/>
                <c:pt idx="0">
                  <c:v>5322</c:v>
                </c:pt>
                <c:pt idx="1">
                  <c:v>3631.71</c:v>
                </c:pt>
                <c:pt idx="2">
                  <c:v>3945.89</c:v>
                </c:pt>
                <c:pt idx="3">
                  <c:v>4454.7700000000004</c:v>
                </c:pt>
                <c:pt idx="4">
                  <c:v>3547.9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9-4F57-9ABE-54BAD0AFADE3}"/>
            </c:ext>
          </c:extLst>
        </c:ser>
        <c:ser>
          <c:idx val="1"/>
          <c:order val="1"/>
          <c:tx>
            <c:strRef>
              <c:f>'8.Lavanderia'!$A$75</c:f>
              <c:strCache>
                <c:ptCount val="1"/>
                <c:pt idx="0">
                  <c:v>Média Kg Roupa / 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'8.Lavanderia'!$B$72:$M$72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'8.Lavanderia'!$B$75:$M$75</c:f>
              <c:numCache>
                <c:formatCode>#,##0</c:formatCode>
                <c:ptCount val="12"/>
                <c:pt idx="0">
                  <c:v>171.67741935483872</c:v>
                </c:pt>
                <c:pt idx="1">
                  <c:v>129.70392857142858</c:v>
                </c:pt>
                <c:pt idx="2">
                  <c:v>127.28677419354838</c:v>
                </c:pt>
                <c:pt idx="3">
                  <c:v>148.49233333333333</c:v>
                </c:pt>
                <c:pt idx="4">
                  <c:v>114.4483870967742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9-4F57-9ABE-54BAD0AF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334544"/>
        <c:axId val="247334936"/>
      </c:barChart>
      <c:catAx>
        <c:axId val="24733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7334936"/>
        <c:crosses val="autoZero"/>
        <c:auto val="1"/>
        <c:lblAlgn val="ctr"/>
        <c:lblOffset val="100"/>
        <c:noMultiLvlLbl val="0"/>
      </c:catAx>
      <c:valAx>
        <c:axId val="247334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UPA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73345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LAVANDERIA (PSI) - 2022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011829943477619"/>
          <c:y val="4.000452185758592E-2"/>
          <c:w val="0.87441155193759801"/>
          <c:h val="0.68258548000853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'8.Lavanderia'!$A$78</c:f>
              <c:strCache>
                <c:ptCount val="1"/>
                <c:pt idx="0">
                  <c:v>Kg Roupas Lavadas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'8.Lavanderia'!$B$77:$M$77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'8.Lavanderia'!$B$78:$M$78</c:f>
              <c:numCache>
                <c:formatCode>#,##0</c:formatCode>
                <c:ptCount val="12"/>
                <c:pt idx="0">
                  <c:v>4810</c:v>
                </c:pt>
                <c:pt idx="1">
                  <c:v>4480.55</c:v>
                </c:pt>
                <c:pt idx="2">
                  <c:v>2611</c:v>
                </c:pt>
                <c:pt idx="3">
                  <c:v>2869</c:v>
                </c:pt>
                <c:pt idx="4">
                  <c:v>2650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D-4FC5-979E-BE7C06591C02}"/>
            </c:ext>
          </c:extLst>
        </c:ser>
        <c:ser>
          <c:idx val="1"/>
          <c:order val="1"/>
          <c:tx>
            <c:strRef>
              <c:f>'8.Lavanderia'!$A$80</c:f>
              <c:strCache>
                <c:ptCount val="1"/>
                <c:pt idx="0">
                  <c:v>Média Kg Roupa / 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'8.Lavanderia'!$B$77:$M$77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'8.Lavanderia'!$B$80:$M$80</c:f>
              <c:numCache>
                <c:formatCode>#,##0</c:formatCode>
                <c:ptCount val="12"/>
                <c:pt idx="0">
                  <c:v>155.16129032258064</c:v>
                </c:pt>
                <c:pt idx="1">
                  <c:v>160.01964285714286</c:v>
                </c:pt>
                <c:pt idx="2">
                  <c:v>84.225806451612897</c:v>
                </c:pt>
                <c:pt idx="3">
                  <c:v>95.63333333333334</c:v>
                </c:pt>
                <c:pt idx="4">
                  <c:v>85.483870967741936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D-4FC5-979E-BE7C0659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103904"/>
        <c:axId val="246104296"/>
      </c:barChart>
      <c:catAx>
        <c:axId val="2461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104296"/>
        <c:crosses val="autoZero"/>
        <c:auto val="1"/>
        <c:lblAlgn val="ctr"/>
        <c:lblOffset val="100"/>
        <c:noMultiLvlLbl val="0"/>
      </c:catAx>
      <c:valAx>
        <c:axId val="246104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PSI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610390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B050"/>
                </a:solidFill>
              </a:rPr>
              <a:t>ATENDIMENTO - CLASSIFICAÇÃO DE RISCO - UMTS - 2022</a:t>
            </a:r>
          </a:p>
        </c:rich>
      </c:tx>
      <c:layout>
        <c:manualLayout>
          <c:xMode val="edge"/>
          <c:yMode val="edge"/>
          <c:x val="0.42219597396932018"/>
          <c:y val="2.17204477813455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023942324561529E-2"/>
          <c:y val="6.234128358506847E-2"/>
          <c:w val="0.92116777200957145"/>
          <c:h val="0.63775069243833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'9.Atendimento-classif. de risco'!$AC$84</c:f>
              <c:strCache>
                <c:ptCount val="1"/>
                <c:pt idx="0">
                  <c:v>VERMELHO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risco'!$AD$83:$AO$83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risco'!$AD$84:$AO$84</c:f>
              <c:numCache>
                <c:formatCode>0.00%</c:formatCode>
                <c:ptCount val="12"/>
                <c:pt idx="0">
                  <c:v>4.838303762426073E-2</c:v>
                </c:pt>
                <c:pt idx="1">
                  <c:v>4.5094007050528788E-2</c:v>
                </c:pt>
                <c:pt idx="2">
                  <c:v>3.076206012584479E-2</c:v>
                </c:pt>
                <c:pt idx="3">
                  <c:v>2.8879004705730679E-2</c:v>
                </c:pt>
                <c:pt idx="4">
                  <c:v>2.311465358675659E-2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FEA-4929-8BD9-9D8886D78F74}"/>
            </c:ext>
          </c:extLst>
        </c:ser>
        <c:ser>
          <c:idx val="1"/>
          <c:order val="1"/>
          <c:tx>
            <c:strRef>
              <c:f>'9.Atendimento-classif. de risco'!$AC$85</c:f>
              <c:strCache>
                <c:ptCount val="1"/>
                <c:pt idx="0">
                  <c:v>AMARELO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risco'!$AD$83:$AO$83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risco'!$AD$85:$AO$85</c:f>
              <c:numCache>
                <c:formatCode>0.00%</c:formatCode>
                <c:ptCount val="12"/>
                <c:pt idx="0">
                  <c:v>0.16641499937083176</c:v>
                </c:pt>
                <c:pt idx="1">
                  <c:v>0.11802291421856639</c:v>
                </c:pt>
                <c:pt idx="2">
                  <c:v>8.2032160335586107E-2</c:v>
                </c:pt>
                <c:pt idx="3">
                  <c:v>9.533939276735641E-2</c:v>
                </c:pt>
                <c:pt idx="4">
                  <c:v>7.3206621704475783E-2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FEA-4929-8BD9-9D8886D78F74}"/>
            </c:ext>
          </c:extLst>
        </c:ser>
        <c:ser>
          <c:idx val="2"/>
          <c:order val="2"/>
          <c:tx>
            <c:strRef>
              <c:f>'9.Atendimento-classif. de risco'!$AC$86</c:f>
              <c:strCache>
                <c:ptCount val="1"/>
                <c:pt idx="0">
                  <c:v>VERDE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risco'!$AD$83:$AO$83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risco'!$AD$86:$AO$86</c:f>
              <c:numCache>
                <c:formatCode>0.00%</c:formatCode>
                <c:ptCount val="12"/>
                <c:pt idx="0">
                  <c:v>0.47860827985403298</c:v>
                </c:pt>
                <c:pt idx="1">
                  <c:v>0.61603995299647474</c:v>
                </c:pt>
                <c:pt idx="2">
                  <c:v>0.74085294803076207</c:v>
                </c:pt>
                <c:pt idx="3">
                  <c:v>0.69212918197640694</c:v>
                </c:pt>
                <c:pt idx="4">
                  <c:v>0.75303494788473324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0FEA-4929-8BD9-9D8886D78F74}"/>
            </c:ext>
          </c:extLst>
        </c:ser>
        <c:ser>
          <c:idx val="3"/>
          <c:order val="3"/>
          <c:tx>
            <c:strRef>
              <c:f>'9.Atendimento-classif. de risco'!$AC$87</c:f>
              <c:strCache>
                <c:ptCount val="1"/>
                <c:pt idx="0">
                  <c:v>AZUL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risco'!$AD$83:$AO$83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risco'!$AD$87:$AO$87</c:f>
              <c:numCache>
                <c:formatCode>0.00%</c:formatCode>
                <c:ptCount val="12"/>
                <c:pt idx="0">
                  <c:v>0.30659368315087454</c:v>
                </c:pt>
                <c:pt idx="1">
                  <c:v>0.22084312573443007</c:v>
                </c:pt>
                <c:pt idx="2">
                  <c:v>0.14635283150780704</c:v>
                </c:pt>
                <c:pt idx="3">
                  <c:v>0.18365242055050604</c:v>
                </c:pt>
                <c:pt idx="4">
                  <c:v>0.15064377682403435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0FEA-4929-8BD9-9D8886D78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133128"/>
        <c:axId val="243133520"/>
        <c:axId val="0"/>
      </c:bar3DChart>
      <c:catAx>
        <c:axId val="24313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3133520"/>
        <c:crosses val="autoZero"/>
        <c:auto val="1"/>
        <c:lblAlgn val="ctr"/>
        <c:lblOffset val="100"/>
        <c:noMultiLvlLbl val="0"/>
      </c:catAx>
      <c:valAx>
        <c:axId val="24313352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UMTS</a:t>
                </a:r>
              </a:p>
            </c:rich>
          </c:tx>
          <c:layout>
            <c:manualLayout>
              <c:xMode val="edge"/>
              <c:yMode val="edge"/>
              <c:x val="6.0470119401781666E-2"/>
              <c:y val="0.388979929294695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%" sourceLinked="1"/>
        <c:majorTickMark val="none"/>
        <c:minorTickMark val="none"/>
        <c:tickLblPos val="nextTo"/>
        <c:crossAx val="243133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horizontalDpi="-2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'1.cont x real'!$C$108:$N$108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'1.cont x real'!$C$109:$N$109</c:f>
              <c:numCache>
                <c:formatCode>#,##0</c:formatCode>
                <c:ptCount val="12"/>
                <c:pt idx="0">
                  <c:v>36495</c:v>
                </c:pt>
                <c:pt idx="1">
                  <c:v>24337</c:v>
                </c:pt>
                <c:pt idx="2">
                  <c:v>33214</c:v>
                </c:pt>
                <c:pt idx="3">
                  <c:v>33212</c:v>
                </c:pt>
                <c:pt idx="4">
                  <c:v>37756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57E-42FD-B6C9-0583BED88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ATENDIMENTO - CLASSIFICAÇÃO DE RISCO - UPA - 2022</a:t>
            </a:r>
          </a:p>
        </c:rich>
      </c:tx>
      <c:layout>
        <c:manualLayout>
          <c:xMode val="edge"/>
          <c:yMode val="edge"/>
          <c:x val="0.41272846760666881"/>
          <c:y val="4.13568816316082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334632741752653E-2"/>
          <c:y val="9.0332445632768751E-2"/>
          <c:w val="0.90743210432029331"/>
          <c:h val="0.654695377931869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'9.Atendimento-classif. de risco'!$AC$112</c:f>
              <c:strCache>
                <c:ptCount val="1"/>
                <c:pt idx="0">
                  <c:v>VERMELHO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risco'!$AD$111:$AO$111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risco'!$AD$112:$AO$112</c:f>
              <c:numCache>
                <c:formatCode>0.00%</c:formatCode>
                <c:ptCount val="12"/>
                <c:pt idx="0">
                  <c:v>3.2160099672948139E-2</c:v>
                </c:pt>
                <c:pt idx="1">
                  <c:v>1.1934361014420686E-2</c:v>
                </c:pt>
                <c:pt idx="2">
                  <c:v>3.8418440851608771E-3</c:v>
                </c:pt>
                <c:pt idx="3">
                  <c:v>1.741476575913662E-2</c:v>
                </c:pt>
                <c:pt idx="4">
                  <c:v>1.1442694983522518E-2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C0A-46C6-A5C7-C901AE1110F8}"/>
            </c:ext>
          </c:extLst>
        </c:ser>
        <c:ser>
          <c:idx val="1"/>
          <c:order val="1"/>
          <c:tx>
            <c:strRef>
              <c:f>'9.Atendimento-classif. de risco'!$AC$113</c:f>
              <c:strCache>
                <c:ptCount val="1"/>
                <c:pt idx="0">
                  <c:v>AMARELO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risco'!$AD$111:$AO$111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risco'!$AD$113:$AO$113</c:f>
              <c:numCache>
                <c:formatCode>0.00%</c:formatCode>
                <c:ptCount val="12"/>
                <c:pt idx="0">
                  <c:v>4.9992213050926645E-2</c:v>
                </c:pt>
                <c:pt idx="1">
                  <c:v>9.075087021382397E-2</c:v>
                </c:pt>
                <c:pt idx="2">
                  <c:v>9.8127101008484069E-2</c:v>
                </c:pt>
                <c:pt idx="3">
                  <c:v>0.12276183468236448</c:v>
                </c:pt>
                <c:pt idx="4">
                  <c:v>0.12321493958257049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C0A-46C6-A5C7-C901AE1110F8}"/>
            </c:ext>
          </c:extLst>
        </c:ser>
        <c:ser>
          <c:idx val="2"/>
          <c:order val="2"/>
          <c:tx>
            <c:strRef>
              <c:f>'9.Atendimento-classif. de risco'!$AC$114</c:f>
              <c:strCache>
                <c:ptCount val="1"/>
                <c:pt idx="0">
                  <c:v>VERDE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risco'!$AD$111:$AO$111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risco'!$AD$114:$AO$114</c:f>
              <c:numCache>
                <c:formatCode>0.00%</c:formatCode>
                <c:ptCount val="12"/>
                <c:pt idx="0">
                  <c:v>5.9492290920417377E-2</c:v>
                </c:pt>
                <c:pt idx="1">
                  <c:v>0.18722028841372451</c:v>
                </c:pt>
                <c:pt idx="2">
                  <c:v>0.16952137025772371</c:v>
                </c:pt>
                <c:pt idx="3">
                  <c:v>0.29740004905567818</c:v>
                </c:pt>
                <c:pt idx="4">
                  <c:v>0.33357744415964846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AC0A-46C6-A5C7-C901AE1110F8}"/>
            </c:ext>
          </c:extLst>
        </c:ser>
        <c:ser>
          <c:idx val="3"/>
          <c:order val="3"/>
          <c:tx>
            <c:strRef>
              <c:f>'9.Atendimento-classif. de risco'!$AC$115</c:f>
              <c:strCache>
                <c:ptCount val="1"/>
                <c:pt idx="0">
                  <c:v>AZUL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risco'!$AD$111:$AO$111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risco'!$AD$115:$AO$115</c:f>
              <c:numCache>
                <c:formatCode>0.00%</c:formatCode>
                <c:ptCount val="12"/>
                <c:pt idx="0">
                  <c:v>0.85835539635570779</c:v>
                </c:pt>
                <c:pt idx="1">
                  <c:v>0.7100944803580308</c:v>
                </c:pt>
                <c:pt idx="2">
                  <c:v>0.72850968464863131</c:v>
                </c:pt>
                <c:pt idx="3">
                  <c:v>0.56242335050282066</c:v>
                </c:pt>
                <c:pt idx="4">
                  <c:v>0.53176492127425856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AC0A-46C6-A5C7-C901AE111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134696"/>
        <c:axId val="243135088"/>
        <c:axId val="0"/>
      </c:bar3DChart>
      <c:catAx>
        <c:axId val="24313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3135088"/>
        <c:crosses val="autoZero"/>
        <c:auto val="1"/>
        <c:lblAlgn val="ctr"/>
        <c:lblOffset val="100"/>
        <c:noMultiLvlLbl val="0"/>
      </c:catAx>
      <c:valAx>
        <c:axId val="24313508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UPA</a:t>
                </a:r>
              </a:p>
            </c:rich>
          </c:tx>
          <c:layout>
            <c:manualLayout>
              <c:xMode val="edge"/>
              <c:yMode val="edge"/>
              <c:x val="5.935149699207954E-2"/>
              <c:y val="0.39660550988583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%" sourceLinked="1"/>
        <c:majorTickMark val="none"/>
        <c:minorTickMark val="none"/>
        <c:tickLblPos val="nextTo"/>
        <c:crossAx val="243134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rgbClr val="00B050"/>
                </a:solidFill>
              </a:rPr>
              <a:t>ATENDIMENTO -CLASSIFICAÇÃO DE RISCO - PSI - 2022</a:t>
            </a:r>
          </a:p>
        </c:rich>
      </c:tx>
      <c:layout>
        <c:manualLayout>
          <c:xMode val="edge"/>
          <c:yMode val="edge"/>
          <c:x val="0.42091768947985331"/>
          <c:y val="4.933296848039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'9.Atendimento-classif. de risco'!$B$128</c:f>
              <c:strCache>
                <c:ptCount val="1"/>
                <c:pt idx="0">
                  <c:v>VERMELHO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risco'!$C$127:$N$127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risco'!$C$128:$N$128</c:f>
              <c:numCache>
                <c:formatCode>0%</c:formatCode>
                <c:ptCount val="12"/>
                <c:pt idx="0">
                  <c:v>8.5062508055161745E-3</c:v>
                </c:pt>
                <c:pt idx="1">
                  <c:v>1.1344976862218241E-2</c:v>
                </c:pt>
                <c:pt idx="2">
                  <c:v>1.7060167555217061E-2</c:v>
                </c:pt>
                <c:pt idx="3">
                  <c:v>7.2289156626506026E-3</c:v>
                </c:pt>
                <c:pt idx="4">
                  <c:v>3.9916365709941077E-3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9F2-4E69-8BB7-0A9888F86D26}"/>
            </c:ext>
          </c:extLst>
        </c:ser>
        <c:ser>
          <c:idx val="1"/>
          <c:order val="1"/>
          <c:tx>
            <c:strRef>
              <c:f>'9.Atendimento-classif. de risco'!$B$129</c:f>
              <c:strCache>
                <c:ptCount val="1"/>
                <c:pt idx="0">
                  <c:v>AMARELO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risco'!$C$127:$N$127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risco'!$C$129:$N$129</c:f>
              <c:numCache>
                <c:formatCode>0%</c:formatCode>
                <c:ptCount val="12"/>
                <c:pt idx="0">
                  <c:v>0.10748807836061348</c:v>
                </c:pt>
                <c:pt idx="1">
                  <c:v>0.15435139573070608</c:v>
                </c:pt>
                <c:pt idx="2">
                  <c:v>0.17288651942117289</c:v>
                </c:pt>
                <c:pt idx="3">
                  <c:v>9.7852278679937135E-2</c:v>
                </c:pt>
                <c:pt idx="4">
                  <c:v>8.3349173160996007E-2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9F2-4E69-8BB7-0A9888F86D26}"/>
            </c:ext>
          </c:extLst>
        </c:ser>
        <c:ser>
          <c:idx val="2"/>
          <c:order val="2"/>
          <c:tx>
            <c:strRef>
              <c:f>'9.Atendimento-classif. de risco'!$B$130</c:f>
              <c:strCache>
                <c:ptCount val="1"/>
                <c:pt idx="0">
                  <c:v>VERDE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risco'!$C$127:$N$127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risco'!$C$130:$N$130</c:f>
              <c:numCache>
                <c:formatCode>0%</c:formatCode>
                <c:ptCount val="12"/>
                <c:pt idx="0">
                  <c:v>0.68668642866348761</c:v>
                </c:pt>
                <c:pt idx="1">
                  <c:v>0.56008359456635315</c:v>
                </c:pt>
                <c:pt idx="2">
                  <c:v>0.90525514089870529</c:v>
                </c:pt>
                <c:pt idx="3">
                  <c:v>0.61068622315348353</c:v>
                </c:pt>
                <c:pt idx="4">
                  <c:v>0.65728948869036308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9F2-4E69-8BB7-0A9888F86D26}"/>
            </c:ext>
          </c:extLst>
        </c:ser>
        <c:ser>
          <c:idx val="3"/>
          <c:order val="3"/>
          <c:tx>
            <c:strRef>
              <c:f>'9.Atendimento-classif. de risco'!$B$131</c:f>
              <c:strCache>
                <c:ptCount val="1"/>
                <c:pt idx="0">
                  <c:v>AZUL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'9.Atendimento-classif. de risco'!$C$127:$N$127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'9.Atendimento-classif. de risco'!$C$131:$N$131</c:f>
              <c:numCache>
                <c:formatCode>0%</c:formatCode>
                <c:ptCount val="12"/>
                <c:pt idx="0">
                  <c:v>0.19731924217038277</c:v>
                </c:pt>
                <c:pt idx="1">
                  <c:v>0.27422003284072249</c:v>
                </c:pt>
                <c:pt idx="2">
                  <c:v>0.39801980198019804</c:v>
                </c:pt>
                <c:pt idx="3">
                  <c:v>0.28423258250392874</c:v>
                </c:pt>
                <c:pt idx="4">
                  <c:v>0.25536970157764682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9F2-4E69-8BB7-0A9888F8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136264"/>
        <c:axId val="243136656"/>
        <c:axId val="0"/>
      </c:bar3DChart>
      <c:catAx>
        <c:axId val="24313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3136656"/>
        <c:crosses val="autoZero"/>
        <c:auto val="1"/>
        <c:lblAlgn val="ctr"/>
        <c:lblOffset val="100"/>
        <c:noMultiLvlLbl val="0"/>
      </c:catAx>
      <c:valAx>
        <c:axId val="24313665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PSI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crossAx val="243136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'1.cont x real'!$C$108:$N$108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'1.cont x real'!$C$110:$N$110</c:f>
              <c:numCache>
                <c:formatCode>#,##0</c:formatCode>
                <c:ptCount val="12"/>
                <c:pt idx="0">
                  <c:v>452</c:v>
                </c:pt>
                <c:pt idx="1">
                  <c:v>371</c:v>
                </c:pt>
                <c:pt idx="2">
                  <c:v>439</c:v>
                </c:pt>
                <c:pt idx="3">
                  <c:v>442</c:v>
                </c:pt>
                <c:pt idx="4">
                  <c:v>499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11D-4086-B462-0F5E6419F0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ATENDIMENTO/PORTA</a:t>
            </a:r>
          </a:p>
        </c:rich>
      </c:tx>
      <c:layout>
        <c:manualLayout>
          <c:xMode val="edge"/>
          <c:yMode val="edge"/>
          <c:x val="0.35686705229689863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16298749428646"/>
          <c:y val="0.21806722076407115"/>
          <c:w val="0.82701999747782251"/>
          <c:h val="0.67453339165937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I'!$C$5:$H$5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I'!$C$10:$H$10</c:f>
              <c:numCache>
                <c:formatCode>#,##0</c:formatCode>
                <c:ptCount val="6"/>
                <c:pt idx="0">
                  <c:v>36495</c:v>
                </c:pt>
                <c:pt idx="1">
                  <c:v>24337</c:v>
                </c:pt>
                <c:pt idx="2">
                  <c:v>33214</c:v>
                </c:pt>
                <c:pt idx="3">
                  <c:v>36863</c:v>
                </c:pt>
                <c:pt idx="4">
                  <c:v>37756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4-4B23-803A-12AEB5380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3608"/>
        <c:axId val="171574784"/>
      </c:barChart>
      <c:catAx>
        <c:axId val="17157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171574784"/>
        <c:crosses val="autoZero"/>
        <c:auto val="1"/>
        <c:lblAlgn val="ctr"/>
        <c:lblOffset val="100"/>
        <c:noMultiLvlLbl val="0"/>
      </c:catAx>
      <c:valAx>
        <c:axId val="171574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3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ATENDIMENTO/INTERNAÇÃO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7177092446777487"/>
          <c:w val="0.88337270341207352"/>
          <c:h val="0.71224919801691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I'!$C$18:$H$18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I'!$C$24:$H$24</c:f>
              <c:numCache>
                <c:formatCode>#,##0</c:formatCode>
                <c:ptCount val="6"/>
                <c:pt idx="0">
                  <c:v>452</c:v>
                </c:pt>
                <c:pt idx="1">
                  <c:v>371</c:v>
                </c:pt>
                <c:pt idx="2">
                  <c:v>439</c:v>
                </c:pt>
                <c:pt idx="3">
                  <c:v>442</c:v>
                </c:pt>
                <c:pt idx="4">
                  <c:v>469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1-4BEC-8FE3-706A209D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4000"/>
        <c:axId val="171894792"/>
      </c:barChart>
      <c:catAx>
        <c:axId val="17157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894792"/>
        <c:crosses val="autoZero"/>
        <c:auto val="1"/>
        <c:lblAlgn val="ctr"/>
        <c:lblOffset val="100"/>
        <c:noMultiLvlLbl val="0"/>
      </c:catAx>
      <c:valAx>
        <c:axId val="171894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ATENDIMENTO/PORTA</a:t>
            </a:r>
          </a:p>
        </c:rich>
      </c:tx>
      <c:layout>
        <c:manualLayout>
          <c:xMode val="edge"/>
          <c:yMode val="edge"/>
          <c:x val="0.35686705229689863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16298749428646"/>
          <c:y val="0.21806722076407115"/>
          <c:w val="0.82701999747782251"/>
          <c:h val="0.67453339165937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'GERAL CONTRATADOXREALIZADO I'!$C$5:$H$5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I'!$C$5:$H$5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I'!$C$10:$H$10</c:f>
              <c:numCache>
                <c:formatCode>#,##0</c:formatCode>
                <c:ptCount val="6"/>
                <c:pt idx="0">
                  <c:v>36495</c:v>
                </c:pt>
                <c:pt idx="1">
                  <c:v>24337</c:v>
                </c:pt>
                <c:pt idx="2">
                  <c:v>33214</c:v>
                </c:pt>
                <c:pt idx="3">
                  <c:v>36863</c:v>
                </c:pt>
                <c:pt idx="4">
                  <c:v>37756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2-4B8F-B612-B5603FD7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3608"/>
        <c:axId val="171574784"/>
      </c:barChart>
      <c:catAx>
        <c:axId val="17157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171574784"/>
        <c:crosses val="autoZero"/>
        <c:auto val="1"/>
        <c:lblAlgn val="ctr"/>
        <c:lblOffset val="100"/>
        <c:noMultiLvlLbl val="0"/>
      </c:catAx>
      <c:valAx>
        <c:axId val="171574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3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ATENDIMENTO/INTERNAÇÃO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7177092446777487"/>
          <c:w val="0.88337270341207352"/>
          <c:h val="0.71224919801691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'GERAL CONTRATADOXREALIZADO I'!$C$18:$H$18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I'!$C$18:$H$18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I'!$C$24:$H$24</c:f>
              <c:numCache>
                <c:formatCode>#,##0</c:formatCode>
                <c:ptCount val="6"/>
                <c:pt idx="0">
                  <c:v>452</c:v>
                </c:pt>
                <c:pt idx="1">
                  <c:v>371</c:v>
                </c:pt>
                <c:pt idx="2">
                  <c:v>439</c:v>
                </c:pt>
                <c:pt idx="3">
                  <c:v>442</c:v>
                </c:pt>
                <c:pt idx="4">
                  <c:v>469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D-4D47-A706-FDE038E59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4000"/>
        <c:axId val="171894792"/>
      </c:barChart>
      <c:catAx>
        <c:axId val="17157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894792"/>
        <c:crosses val="autoZero"/>
        <c:auto val="1"/>
        <c:lblAlgn val="ctr"/>
        <c:lblOffset val="100"/>
        <c:noMultiLvlLbl val="0"/>
      </c:catAx>
      <c:valAx>
        <c:axId val="171894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rgbClr val="00B050"/>
                </a:solidFill>
              </a:defRPr>
            </a:pPr>
            <a:r>
              <a:rPr lang="en-US" sz="1050">
                <a:solidFill>
                  <a:srgbClr val="00B050"/>
                </a:solidFill>
              </a:rPr>
              <a:t>ATENDIMENTO/INTERNAÇÃO</a:t>
            </a:r>
          </a:p>
        </c:rich>
      </c:tx>
      <c:layout>
        <c:manualLayout>
          <c:xMode val="edge"/>
          <c:yMode val="edge"/>
          <c:x val="0.4340560970414834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'GERAL CONTRATADOXREALIZADOII'!$A$24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CONTRATADOXREALIZADOII'!$C$18:$H$18</c:f>
              <c:strCache>
                <c:ptCount val="6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DEZEMBRO</c:v>
                </c:pt>
              </c:strCache>
            </c:strRef>
          </c:cat>
          <c:val>
            <c:numRef>
              <c:f>'GERAL CONTRATADOXREALIZADOII'!$C$24:$H$24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E-4927-9504-1297BBA3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92832"/>
        <c:axId val="241197552"/>
      </c:barChart>
      <c:catAx>
        <c:axId val="17189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97552"/>
        <c:crosses val="autoZero"/>
        <c:auto val="1"/>
        <c:lblAlgn val="ctr"/>
        <c:lblOffset val="100"/>
        <c:noMultiLvlLbl val="0"/>
      </c:catAx>
      <c:valAx>
        <c:axId val="241197552"/>
        <c:scaling>
          <c:orientation val="minMax"/>
          <c:max val="600"/>
          <c:min val="200"/>
        </c:scaling>
        <c:delete val="0"/>
        <c:axPos val="l"/>
        <c:numFmt formatCode="#,##0" sourceLinked="1"/>
        <c:majorTickMark val="out"/>
        <c:minorTickMark val="none"/>
        <c:tickLblPos val="nextTo"/>
        <c:crossAx val="171892832"/>
        <c:crosses val="autoZero"/>
        <c:crossBetween val="between"/>
        <c:majorUnit val="5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11.jpeg"/><Relationship Id="rId1" Type="http://schemas.openxmlformats.org/officeDocument/2006/relationships/image" Target="../media/image8.jpeg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image" Target="../media/image11.jpeg"/><Relationship Id="rId1" Type="http://schemas.openxmlformats.org/officeDocument/2006/relationships/image" Target="../media/image8.jpe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8.jpeg"/><Relationship Id="rId4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8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8.jpeg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8.jpeg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0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0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17</xdr:row>
      <xdr:rowOff>9525</xdr:rowOff>
    </xdr:from>
    <xdr:to>
      <xdr:col>6</xdr:col>
      <xdr:colOff>466725</xdr:colOff>
      <xdr:row>28</xdr:row>
      <xdr:rowOff>152401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3714750"/>
          <a:ext cx="2276475" cy="22383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19050</xdr:rowOff>
    </xdr:from>
    <xdr:to>
      <xdr:col>1</xdr:col>
      <xdr:colOff>0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9050"/>
          <a:ext cx="0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192882</xdr:colOff>
      <xdr:row>2</xdr:row>
      <xdr:rowOff>116682</xdr:rowOff>
    </xdr:from>
    <xdr:to>
      <xdr:col>6</xdr:col>
      <xdr:colOff>192882</xdr:colOff>
      <xdr:row>4</xdr:row>
      <xdr:rowOff>107157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2507" y="509588"/>
          <a:ext cx="0" cy="395288"/>
        </a:xfrm>
        <a:prstGeom prst="rect">
          <a:avLst/>
        </a:prstGeom>
      </xdr:spPr>
    </xdr:pic>
    <xdr:clientData/>
  </xdr:twoCellAnchor>
  <xdr:twoCellAnchor editAs="oneCell">
    <xdr:from>
      <xdr:col>1</xdr:col>
      <xdr:colOff>704850</xdr:colOff>
      <xdr:row>2</xdr:row>
      <xdr:rowOff>19050</xdr:rowOff>
    </xdr:from>
    <xdr:to>
      <xdr:col>1</xdr:col>
      <xdr:colOff>704850</xdr:colOff>
      <xdr:row>4</xdr:row>
      <xdr:rowOff>9525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9050"/>
          <a:ext cx="485775" cy="3905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152399</xdr:rowOff>
    </xdr:from>
    <xdr:to>
      <xdr:col>15</xdr:col>
      <xdr:colOff>619123</xdr:colOff>
      <xdr:row>33</xdr:row>
      <xdr:rowOff>26193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154782</xdr:rowOff>
    </xdr:from>
    <xdr:to>
      <xdr:col>15</xdr:col>
      <xdr:colOff>607218</xdr:colOff>
      <xdr:row>44</xdr:row>
      <xdr:rowOff>142878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59531</xdr:colOff>
      <xdr:row>45</xdr:row>
      <xdr:rowOff>119063</xdr:rowOff>
    </xdr:from>
    <xdr:to>
      <xdr:col>15</xdr:col>
      <xdr:colOff>654843</xdr:colOff>
      <xdr:row>56</xdr:row>
      <xdr:rowOff>91679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0</xdr:colOff>
      <xdr:row>4</xdr:row>
      <xdr:rowOff>9525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CF02465-74BB-4E81-8AF3-9F07CB893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52425"/>
          <a:ext cx="0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192882</xdr:colOff>
      <xdr:row>2</xdr:row>
      <xdr:rowOff>116682</xdr:rowOff>
    </xdr:from>
    <xdr:to>
      <xdr:col>6</xdr:col>
      <xdr:colOff>192882</xdr:colOff>
      <xdr:row>4</xdr:row>
      <xdr:rowOff>107157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54D7AD20-7305-40D2-8367-25B3C3801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407" y="450057"/>
          <a:ext cx="0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704850</xdr:colOff>
      <xdr:row>2</xdr:row>
      <xdr:rowOff>19050</xdr:rowOff>
    </xdr:from>
    <xdr:to>
      <xdr:col>1</xdr:col>
      <xdr:colOff>704850</xdr:colOff>
      <xdr:row>4</xdr:row>
      <xdr:rowOff>9525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9A21BF2F-D879-4026-880D-09685F68C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352425"/>
          <a:ext cx="0" cy="3905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285749</xdr:colOff>
      <xdr:row>69</xdr:row>
      <xdr:rowOff>30957</xdr:rowOff>
    </xdr:from>
    <xdr:to>
      <xdr:col>12</xdr:col>
      <xdr:colOff>285749</xdr:colOff>
      <xdr:row>70</xdr:row>
      <xdr:rowOff>230982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3062" y="1173957"/>
          <a:ext cx="0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2</xdr:row>
      <xdr:rowOff>9525</xdr:rowOff>
    </xdr:from>
    <xdr:to>
      <xdr:col>0</xdr:col>
      <xdr:colOff>659606</xdr:colOff>
      <xdr:row>4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4" y="9525"/>
          <a:ext cx="485775" cy="390525"/>
        </a:xfrm>
        <a:prstGeom prst="rect">
          <a:avLst/>
        </a:prstGeom>
      </xdr:spPr>
    </xdr:pic>
    <xdr:clientData/>
  </xdr:twoCellAnchor>
  <xdr:twoCellAnchor>
    <xdr:from>
      <xdr:col>0</xdr:col>
      <xdr:colOff>61908</xdr:colOff>
      <xdr:row>0</xdr:row>
      <xdr:rowOff>354806</xdr:rowOff>
    </xdr:from>
    <xdr:to>
      <xdr:col>18</xdr:col>
      <xdr:colOff>526255</xdr:colOff>
      <xdr:row>24</xdr:row>
      <xdr:rowOff>92868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61912</xdr:colOff>
      <xdr:row>24</xdr:row>
      <xdr:rowOff>133349</xdr:rowOff>
    </xdr:from>
    <xdr:to>
      <xdr:col>18</xdr:col>
      <xdr:colOff>578643</xdr:colOff>
      <xdr:row>42</xdr:row>
      <xdr:rowOff>189308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35719</xdr:colOff>
      <xdr:row>43</xdr:row>
      <xdr:rowOff>35718</xdr:rowOff>
    </xdr:from>
    <xdr:to>
      <xdr:col>18</xdr:col>
      <xdr:colOff>569118</xdr:colOff>
      <xdr:row>61</xdr:row>
      <xdr:rowOff>127395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11</xdr:col>
      <xdr:colOff>285749</xdr:colOff>
      <xdr:row>69</xdr:row>
      <xdr:rowOff>30957</xdr:rowOff>
    </xdr:from>
    <xdr:ext cx="0" cy="390525"/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49" y="12746832"/>
          <a:ext cx="0" cy="390525"/>
        </a:xfrm>
        <a:prstGeom prst="rect">
          <a:avLst/>
        </a:prstGeom>
      </xdr:spPr>
    </xdr:pic>
    <xdr:clientData/>
  </xdr:oneCellAnchor>
  <xdr:oneCellAnchor>
    <xdr:from>
      <xdr:col>12</xdr:col>
      <xdr:colOff>285749</xdr:colOff>
      <xdr:row>74</xdr:row>
      <xdr:rowOff>30957</xdr:rowOff>
    </xdr:from>
    <xdr:ext cx="0" cy="390525"/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49" y="12746832"/>
          <a:ext cx="0" cy="390525"/>
        </a:xfrm>
        <a:prstGeom prst="rect">
          <a:avLst/>
        </a:prstGeom>
      </xdr:spPr>
    </xdr:pic>
    <xdr:clientData/>
  </xdr:oneCellAnchor>
  <xdr:oneCellAnchor>
    <xdr:from>
      <xdr:col>11</xdr:col>
      <xdr:colOff>285749</xdr:colOff>
      <xdr:row>74</xdr:row>
      <xdr:rowOff>30957</xdr:rowOff>
    </xdr:from>
    <xdr:ext cx="0" cy="390525"/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4" y="12746832"/>
          <a:ext cx="0" cy="390525"/>
        </a:xfrm>
        <a:prstGeom prst="rect">
          <a:avLst/>
        </a:prstGeom>
      </xdr:spPr>
    </xdr:pic>
    <xdr:clientData/>
  </xdr:oneCellAnchor>
  <xdr:oneCellAnchor>
    <xdr:from>
      <xdr:col>12</xdr:col>
      <xdr:colOff>285749</xdr:colOff>
      <xdr:row>79</xdr:row>
      <xdr:rowOff>30957</xdr:rowOff>
    </xdr:from>
    <xdr:ext cx="0" cy="390525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49" y="12746832"/>
          <a:ext cx="0" cy="390525"/>
        </a:xfrm>
        <a:prstGeom prst="rect">
          <a:avLst/>
        </a:prstGeom>
      </xdr:spPr>
    </xdr:pic>
    <xdr:clientData/>
  </xdr:oneCellAnchor>
  <xdr:oneCellAnchor>
    <xdr:from>
      <xdr:col>11</xdr:col>
      <xdr:colOff>285749</xdr:colOff>
      <xdr:row>79</xdr:row>
      <xdr:rowOff>30957</xdr:rowOff>
    </xdr:from>
    <xdr:ext cx="0" cy="390525"/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4" y="12746832"/>
          <a:ext cx="0" cy="390525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4</xdr:row>
      <xdr:rowOff>14287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9050"/>
          <a:ext cx="0" cy="390525"/>
        </a:xfrm>
        <a:prstGeom prst="rect">
          <a:avLst/>
        </a:prstGeom>
      </xdr:spPr>
    </xdr:pic>
    <xdr:clientData/>
  </xdr:twoCellAnchor>
  <xdr:twoCellAnchor>
    <xdr:from>
      <xdr:col>0</xdr:col>
      <xdr:colOff>73265</xdr:colOff>
      <xdr:row>0</xdr:row>
      <xdr:rowOff>85481</xdr:rowOff>
    </xdr:from>
    <xdr:to>
      <xdr:col>27</xdr:col>
      <xdr:colOff>525094</xdr:colOff>
      <xdr:row>17</xdr:row>
      <xdr:rowOff>170963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61057</xdr:colOff>
      <xdr:row>18</xdr:row>
      <xdr:rowOff>108682</xdr:rowOff>
    </xdr:from>
    <xdr:to>
      <xdr:col>27</xdr:col>
      <xdr:colOff>512884</xdr:colOff>
      <xdr:row>41</xdr:row>
      <xdr:rowOff>37123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57149</xdr:colOff>
      <xdr:row>41</xdr:row>
      <xdr:rowOff>169741</xdr:rowOff>
    </xdr:from>
    <xdr:to>
      <xdr:col>27</xdr:col>
      <xdr:colOff>542924</xdr:colOff>
      <xdr:row>62</xdr:row>
      <xdr:rowOff>24423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1</xdr:row>
      <xdr:rowOff>123825</xdr:rowOff>
    </xdr:from>
    <xdr:to>
      <xdr:col>0</xdr:col>
      <xdr:colOff>1485900</xdr:colOff>
      <xdr:row>5</xdr:row>
      <xdr:rowOff>465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E28E6D-5BC9-4DD5-852A-4F2957043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14325"/>
          <a:ext cx="676275" cy="63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84</xdr:row>
      <xdr:rowOff>100013</xdr:rowOff>
    </xdr:from>
    <xdr:to>
      <xdr:col>10</xdr:col>
      <xdr:colOff>247650</xdr:colOff>
      <xdr:row>103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409574</xdr:colOff>
      <xdr:row>84</xdr:row>
      <xdr:rowOff>109537</xdr:rowOff>
    </xdr:from>
    <xdr:to>
      <xdr:col>22</xdr:col>
      <xdr:colOff>590549</xdr:colOff>
      <xdr:row>103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84</xdr:row>
      <xdr:rowOff>100013</xdr:rowOff>
    </xdr:from>
    <xdr:to>
      <xdr:col>10</xdr:col>
      <xdr:colOff>285750</xdr:colOff>
      <xdr:row>103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7B6DA5E-7E86-4749-A706-558B9C56D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333374</xdr:colOff>
      <xdr:row>84</xdr:row>
      <xdr:rowOff>109537</xdr:rowOff>
    </xdr:from>
    <xdr:to>
      <xdr:col>22</xdr:col>
      <xdr:colOff>514349</xdr:colOff>
      <xdr:row>103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AC4A8DA-570E-4052-89C2-66DF96397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9050"/>
          <a:ext cx="0" cy="390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9050"/>
          <a:ext cx="0" cy="390525"/>
        </a:xfrm>
        <a:prstGeom prst="rect">
          <a:avLst/>
        </a:prstGeom>
      </xdr:spPr>
    </xdr:pic>
    <xdr:clientData/>
  </xdr:oneCellAnchor>
  <xdr:twoCellAnchor>
    <xdr:from>
      <xdr:col>32</xdr:col>
      <xdr:colOff>190499</xdr:colOff>
      <xdr:row>34</xdr:row>
      <xdr:rowOff>0</xdr:rowOff>
    </xdr:from>
    <xdr:to>
      <xdr:col>36</xdr:col>
      <xdr:colOff>264584</xdr:colOff>
      <xdr:row>35</xdr:row>
      <xdr:rowOff>42333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1812249" y="5725583"/>
          <a:ext cx="2529418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0</xdr:col>
      <xdr:colOff>0</xdr:colOff>
      <xdr:row>28</xdr:row>
      <xdr:rowOff>156946</xdr:rowOff>
    </xdr:from>
    <xdr:to>
      <xdr:col>4</xdr:col>
      <xdr:colOff>30726</xdr:colOff>
      <xdr:row>41</xdr:row>
      <xdr:rowOff>122904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133145</xdr:colOff>
      <xdr:row>28</xdr:row>
      <xdr:rowOff>163858</xdr:rowOff>
    </xdr:from>
    <xdr:to>
      <xdr:col>10</xdr:col>
      <xdr:colOff>606876</xdr:colOff>
      <xdr:row>41</xdr:row>
      <xdr:rowOff>143388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17503AF9-557F-477B-A25A-ADCA4B02E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0"/>
          <a:ext cx="0" cy="39298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12" name="Imagem 11">
          <a:extLst>
            <a:ext uri="{FF2B5EF4-FFF2-40B4-BE49-F238E27FC236}">
              <a16:creationId xmlns:a16="http://schemas.microsoft.com/office/drawing/2014/main" id="{DA6E10B8-0056-4C2F-B3CE-A794C14DF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9050"/>
          <a:ext cx="0" cy="390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D851EE1B-E8DB-4067-8949-49814EB0F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0"/>
          <a:ext cx="0" cy="39298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15" name="Imagem 14">
          <a:extLst>
            <a:ext uri="{FF2B5EF4-FFF2-40B4-BE49-F238E27FC236}">
              <a16:creationId xmlns:a16="http://schemas.microsoft.com/office/drawing/2014/main" id="{735D03F4-6701-4344-982B-058242270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9050"/>
          <a:ext cx="0" cy="390525"/>
        </a:xfrm>
        <a:prstGeom prst="rect">
          <a:avLst/>
        </a:prstGeom>
      </xdr:spPr>
    </xdr:pic>
    <xdr:clientData/>
  </xdr:oneCellAnchor>
  <xdr:twoCellAnchor>
    <xdr:from>
      <xdr:col>32</xdr:col>
      <xdr:colOff>190499</xdr:colOff>
      <xdr:row>34</xdr:row>
      <xdr:rowOff>0</xdr:rowOff>
    </xdr:from>
    <xdr:to>
      <xdr:col>36</xdr:col>
      <xdr:colOff>264584</xdr:colOff>
      <xdr:row>35</xdr:row>
      <xdr:rowOff>42333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B3D5FEAE-50F1-47CD-97E4-1DEEF2FC5079}"/>
            </a:ext>
          </a:extLst>
        </xdr:cNvPr>
        <xdr:cNvSpPr txBox="1"/>
      </xdr:nvSpPr>
      <xdr:spPr>
        <a:xfrm>
          <a:off x="22126574" y="6419850"/>
          <a:ext cx="2512485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0</xdr:col>
      <xdr:colOff>0</xdr:colOff>
      <xdr:row>28</xdr:row>
      <xdr:rowOff>156946</xdr:rowOff>
    </xdr:from>
    <xdr:to>
      <xdr:col>4</xdr:col>
      <xdr:colOff>30726</xdr:colOff>
      <xdr:row>41</xdr:row>
      <xdr:rowOff>122904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9D946022-DDCD-4C4A-A8A7-BCF45BF82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133145</xdr:colOff>
      <xdr:row>28</xdr:row>
      <xdr:rowOff>163858</xdr:rowOff>
    </xdr:from>
    <xdr:to>
      <xdr:col>10</xdr:col>
      <xdr:colOff>606876</xdr:colOff>
      <xdr:row>41</xdr:row>
      <xdr:rowOff>143388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19C3C8FD-8833-4EB1-9751-7A161B631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794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9050"/>
          <a:ext cx="0" cy="390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794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9050"/>
          <a:ext cx="0" cy="390525"/>
        </a:xfrm>
        <a:prstGeom prst="rect">
          <a:avLst/>
        </a:prstGeom>
      </xdr:spPr>
    </xdr:pic>
    <xdr:clientData/>
  </xdr:oneCellAnchor>
  <xdr:twoCellAnchor>
    <xdr:from>
      <xdr:col>32</xdr:col>
      <xdr:colOff>190499</xdr:colOff>
      <xdr:row>34</xdr:row>
      <xdr:rowOff>0</xdr:rowOff>
    </xdr:from>
    <xdr:to>
      <xdr:col>36</xdr:col>
      <xdr:colOff>264584</xdr:colOff>
      <xdr:row>35</xdr:row>
      <xdr:rowOff>42333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3660099" y="6000750"/>
          <a:ext cx="2664885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4</xdr:col>
      <xdr:colOff>821531</xdr:colOff>
      <xdr:row>29</xdr:row>
      <xdr:rowOff>39289</xdr:rowOff>
    </xdr:from>
    <xdr:to>
      <xdr:col>10</xdr:col>
      <xdr:colOff>642937</xdr:colOff>
      <xdr:row>43</xdr:row>
      <xdr:rowOff>115489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51197</xdr:rowOff>
    </xdr:from>
    <xdr:to>
      <xdr:col>4</xdr:col>
      <xdr:colOff>619124</xdr:colOff>
      <xdr:row>43</xdr:row>
      <xdr:rowOff>127397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1</xdr:col>
      <xdr:colOff>0</xdr:colOff>
      <xdr:row>3</xdr:row>
      <xdr:rowOff>88106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9050"/>
          <a:ext cx="0" cy="3905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159543</xdr:rowOff>
    </xdr:from>
    <xdr:to>
      <xdr:col>15</xdr:col>
      <xdr:colOff>588169</xdr:colOff>
      <xdr:row>53</xdr:row>
      <xdr:rowOff>9524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42864</xdr:rowOff>
    </xdr:from>
    <xdr:to>
      <xdr:col>15</xdr:col>
      <xdr:colOff>590550</xdr:colOff>
      <xdr:row>73</xdr:row>
      <xdr:rowOff>180976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19050</xdr:rowOff>
    </xdr:from>
    <xdr:to>
      <xdr:col>1</xdr:col>
      <xdr:colOff>0</xdr:colOff>
      <xdr:row>3</xdr:row>
      <xdr:rowOff>88106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4454776-8340-4169-B4F1-6AEE88358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9050"/>
          <a:ext cx="0" cy="392906"/>
        </a:xfrm>
        <a:prstGeom prst="rect">
          <a:avLst/>
        </a:prstGeom>
      </xdr:spPr>
    </xdr:pic>
    <xdr:clientData/>
  </xdr:twoCellAnchor>
  <xdr:twoCellAnchor>
    <xdr:from>
      <xdr:col>0</xdr:col>
      <xdr:colOff>9526</xdr:colOff>
      <xdr:row>52</xdr:row>
      <xdr:rowOff>190499</xdr:rowOff>
    </xdr:from>
    <xdr:to>
      <xdr:col>15</xdr:col>
      <xdr:colOff>590551</xdr:colOff>
      <xdr:row>62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C9F7B4-FB7B-49F5-810C-B1F343910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9525</xdr:rowOff>
    </xdr:from>
    <xdr:to>
      <xdr:col>28</xdr:col>
      <xdr:colOff>550335</xdr:colOff>
      <xdr:row>96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42333</xdr:colOff>
      <xdr:row>52</xdr:row>
      <xdr:rowOff>115358</xdr:rowOff>
    </xdr:from>
    <xdr:to>
      <xdr:col>28</xdr:col>
      <xdr:colOff>571499</xdr:colOff>
      <xdr:row>72</xdr:row>
      <xdr:rowOff>10583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19050</xdr:rowOff>
    </xdr:from>
    <xdr:to>
      <xdr:col>2</xdr:col>
      <xdr:colOff>0</xdr:colOff>
      <xdr:row>4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19050"/>
          <a:ext cx="0" cy="390525"/>
        </a:xfrm>
        <a:prstGeom prst="rect">
          <a:avLst/>
        </a:prstGeom>
      </xdr:spPr>
    </xdr:pic>
    <xdr:clientData/>
  </xdr:twoCellAnchor>
  <xdr:twoCellAnchor>
    <xdr:from>
      <xdr:col>8</xdr:col>
      <xdr:colOff>59531</xdr:colOff>
      <xdr:row>56</xdr:row>
      <xdr:rowOff>23812</xdr:rowOff>
    </xdr:from>
    <xdr:to>
      <xdr:col>15</xdr:col>
      <xdr:colOff>535781</xdr:colOff>
      <xdr:row>71</xdr:row>
      <xdr:rowOff>59532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85723</xdr:colOff>
      <xdr:row>56</xdr:row>
      <xdr:rowOff>11904</xdr:rowOff>
    </xdr:from>
    <xdr:to>
      <xdr:col>7</xdr:col>
      <xdr:colOff>642937</xdr:colOff>
      <xdr:row>71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83342</xdr:colOff>
      <xdr:row>71</xdr:row>
      <xdr:rowOff>161924</xdr:rowOff>
    </xdr:from>
    <xdr:to>
      <xdr:col>7</xdr:col>
      <xdr:colOff>642936</xdr:colOff>
      <xdr:row>86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59531</xdr:colOff>
      <xdr:row>71</xdr:row>
      <xdr:rowOff>142875</xdr:rowOff>
    </xdr:from>
    <xdr:to>
      <xdr:col>15</xdr:col>
      <xdr:colOff>547686</xdr:colOff>
      <xdr:row>86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0</xdr:colOff>
      <xdr:row>2</xdr:row>
      <xdr:rowOff>19050</xdr:rowOff>
    </xdr:from>
    <xdr:to>
      <xdr:col>2</xdr:col>
      <xdr:colOff>0</xdr:colOff>
      <xdr:row>4</xdr:row>
      <xdr:rowOff>85725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6B78B141-1D74-467D-A374-DE27759FA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352425"/>
          <a:ext cx="0" cy="390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19050</xdr:rowOff>
    </xdr:from>
    <xdr:to>
      <xdr:col>2</xdr:col>
      <xdr:colOff>0</xdr:colOff>
      <xdr:row>1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19050"/>
          <a:ext cx="542925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0</xdr:row>
      <xdr:rowOff>19050</xdr:rowOff>
    </xdr:from>
    <xdr:to>
      <xdr:col>2</xdr:col>
      <xdr:colOff>0</xdr:colOff>
      <xdr:row>1</xdr:row>
      <xdr:rowOff>161925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EC9B0D8-4CB0-4728-8DFC-B5EE4A54E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9050"/>
          <a:ext cx="0" cy="390525"/>
        </a:xfrm>
        <a:prstGeom prst="rect">
          <a:avLst/>
        </a:prstGeom>
      </xdr:spPr>
    </xdr:pic>
    <xdr:clientData/>
  </xdr:twoCellAnchor>
  <xdr:twoCellAnchor editAs="oneCell">
    <xdr:from>
      <xdr:col>2</xdr:col>
      <xdr:colOff>657225</xdr:colOff>
      <xdr:row>0</xdr:row>
      <xdr:rowOff>19050</xdr:rowOff>
    </xdr:from>
    <xdr:to>
      <xdr:col>3</xdr:col>
      <xdr:colOff>0</xdr:colOff>
      <xdr:row>1</xdr:row>
      <xdr:rowOff>161925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A705CF1-7499-499D-8056-85AB4EF9D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9050"/>
          <a:ext cx="0" cy="390525"/>
        </a:xfrm>
        <a:prstGeom prst="rect">
          <a:avLst/>
        </a:prstGeom>
      </xdr:spPr>
    </xdr:pic>
    <xdr:clientData/>
  </xdr:twoCellAnchor>
  <xdr:twoCellAnchor editAs="oneCell">
    <xdr:from>
      <xdr:col>2</xdr:col>
      <xdr:colOff>657225</xdr:colOff>
      <xdr:row>0</xdr:row>
      <xdr:rowOff>19050</xdr:rowOff>
    </xdr:from>
    <xdr:to>
      <xdr:col>3</xdr:col>
      <xdr:colOff>0</xdr:colOff>
      <xdr:row>1</xdr:row>
      <xdr:rowOff>161925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C21659E-E6C0-4F5F-9C0C-93C711C69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9050"/>
          <a:ext cx="0" cy="390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13</xdr:row>
      <xdr:rowOff>47626</xdr:rowOff>
    </xdr:from>
    <xdr:to>
      <xdr:col>15</xdr:col>
      <xdr:colOff>607219</xdr:colOff>
      <xdr:row>24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35719</xdr:colOff>
      <xdr:row>25</xdr:row>
      <xdr:rowOff>107156</xdr:rowOff>
    </xdr:from>
    <xdr:to>
      <xdr:col>15</xdr:col>
      <xdr:colOff>642938</xdr:colOff>
      <xdr:row>36</xdr:row>
      <xdr:rowOff>154781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99580</xdr:colOff>
      <xdr:row>37</xdr:row>
      <xdr:rowOff>43295</xdr:rowOff>
    </xdr:from>
    <xdr:to>
      <xdr:col>15</xdr:col>
      <xdr:colOff>649432</xdr:colOff>
      <xdr:row>51</xdr:row>
      <xdr:rowOff>121227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3:N47"/>
  <sheetViews>
    <sheetView showGridLines="0" view="pageBreakPreview" zoomScaleNormal="100" zoomScaleSheetLayoutView="100" workbookViewId="0">
      <selection activeCell="K2" sqref="K2"/>
    </sheetView>
  </sheetViews>
  <sheetFormatPr defaultRowHeight="14.3"/>
  <sheetData>
    <row r="3" spans="1:11" ht="27.2">
      <c r="K3" s="1"/>
    </row>
    <row r="5" spans="1:11" ht="31.95">
      <c r="A5" s="475" t="s">
        <v>0</v>
      </c>
      <c r="B5" s="475"/>
      <c r="C5" s="475"/>
      <c r="D5" s="475"/>
      <c r="E5" s="475"/>
      <c r="F5" s="475"/>
      <c r="G5" s="475"/>
      <c r="H5" s="475"/>
      <c r="I5" s="475"/>
      <c r="J5" s="475"/>
    </row>
    <row r="6" spans="1:11">
      <c r="A6" s="478" t="s">
        <v>165</v>
      </c>
      <c r="B6" s="478"/>
      <c r="C6" s="478"/>
      <c r="D6" s="478"/>
      <c r="E6" s="478"/>
      <c r="F6" s="478"/>
      <c r="G6" s="478"/>
      <c r="H6" s="478"/>
      <c r="I6" s="478"/>
      <c r="J6" s="478"/>
    </row>
    <row r="7" spans="1:11" ht="23.1">
      <c r="A7" s="479" t="s">
        <v>1</v>
      </c>
      <c r="B7" s="479"/>
      <c r="C7" s="479"/>
      <c r="D7" s="479"/>
      <c r="E7" s="479"/>
      <c r="F7" s="479"/>
      <c r="G7" s="479"/>
      <c r="H7" s="479"/>
      <c r="I7" s="479"/>
      <c r="J7" s="479"/>
    </row>
    <row r="19" spans="5:11">
      <c r="K19" t="s">
        <v>171</v>
      </c>
    </row>
    <row r="20" spans="5:11">
      <c r="E20">
        <v>894</v>
      </c>
    </row>
    <row r="44" spans="1:14" ht="27.2">
      <c r="A44" s="476" t="s">
        <v>65</v>
      </c>
      <c r="B44" s="476"/>
      <c r="C44" s="476"/>
      <c r="D44" s="476"/>
      <c r="E44" s="476"/>
      <c r="F44" s="476"/>
      <c r="G44" s="476"/>
      <c r="H44" s="476"/>
      <c r="I44" s="476"/>
      <c r="J44" s="476"/>
    </row>
    <row r="45" spans="1:14" ht="23.1">
      <c r="A45" s="477">
        <v>2022</v>
      </c>
      <c r="B45" s="477"/>
      <c r="C45" s="477"/>
      <c r="D45" s="477"/>
      <c r="E45" s="477"/>
      <c r="F45" s="477"/>
      <c r="G45" s="477"/>
      <c r="H45" s="477"/>
      <c r="I45" s="477"/>
      <c r="J45" s="477"/>
    </row>
    <row r="47" spans="1:14" ht="27.2">
      <c r="K47" s="2"/>
      <c r="L47" s="2"/>
      <c r="M47" s="2"/>
      <c r="N47" s="2"/>
    </row>
  </sheetData>
  <customSheetViews>
    <customSheetView guid="{735276B6-8B53-4447-B7C2-CBEDAEBC1390}" showPageBreaks="1" showGridLines="0" view="pageBreakPreview" topLeftCell="A29">
      <selection activeCell="A45" sqref="A45:J45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5">
    <mergeCell ref="A5:J5"/>
    <mergeCell ref="A44:J44"/>
    <mergeCell ref="A45:J45"/>
    <mergeCell ref="A6:J6"/>
    <mergeCell ref="A7:J7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  <pageSetUpPr fitToPage="1"/>
  </sheetPr>
  <dimension ref="A1:P20"/>
  <sheetViews>
    <sheetView showGridLines="0" view="pageBreakPreview" zoomScaleNormal="100" zoomScaleSheetLayoutView="100" workbookViewId="0">
      <selection activeCell="Q17" sqref="Q17"/>
    </sheetView>
  </sheetViews>
  <sheetFormatPr defaultColWidth="9.125" defaultRowHeight="14.3"/>
  <cols>
    <col min="1" max="1" width="20.125" style="13" customWidth="1"/>
    <col min="2" max="2" width="25.625" style="13" bestFit="1" customWidth="1"/>
    <col min="3" max="16" width="10.125" style="13" customWidth="1"/>
    <col min="17" max="16384" width="9.125" style="13"/>
  </cols>
  <sheetData>
    <row r="1" spans="1:16">
      <c r="A1" s="663" t="s">
        <v>21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5"/>
      <c r="P1" s="265">
        <v>2022</v>
      </c>
    </row>
    <row r="2" spans="1:16" ht="14.95" thickBot="1">
      <c r="A2" s="56" t="s">
        <v>71</v>
      </c>
      <c r="B2" s="15" t="s">
        <v>72</v>
      </c>
      <c r="C2" s="15" t="s">
        <v>30</v>
      </c>
      <c r="D2" s="15" t="s">
        <v>31</v>
      </c>
      <c r="E2" s="15" t="s">
        <v>2</v>
      </c>
      <c r="F2" s="15" t="s">
        <v>32</v>
      </c>
      <c r="G2" s="15" t="s">
        <v>33</v>
      </c>
      <c r="H2" s="15" t="s">
        <v>54</v>
      </c>
      <c r="I2" s="15" t="s">
        <v>55</v>
      </c>
      <c r="J2" s="15" t="s">
        <v>56</v>
      </c>
      <c r="K2" s="15" t="s">
        <v>57</v>
      </c>
      <c r="L2" s="15" t="s">
        <v>58</v>
      </c>
      <c r="M2" s="15" t="s">
        <v>59</v>
      </c>
      <c r="N2" s="15" t="s">
        <v>60</v>
      </c>
      <c r="O2" s="15" t="s">
        <v>16</v>
      </c>
      <c r="P2" s="57" t="s">
        <v>17</v>
      </c>
    </row>
    <row r="3" spans="1:16" ht="14.95" thickBot="1">
      <c r="A3" s="660" t="s">
        <v>18</v>
      </c>
      <c r="B3" s="58" t="s">
        <v>22</v>
      </c>
      <c r="C3" s="59">
        <v>728</v>
      </c>
      <c r="D3" s="59">
        <v>734</v>
      </c>
      <c r="E3" s="59">
        <v>806</v>
      </c>
      <c r="F3" s="59">
        <v>879</v>
      </c>
      <c r="G3" s="59">
        <v>0</v>
      </c>
      <c r="H3" s="59">
        <v>0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61">
        <f>SUM(C3:N3)</f>
        <v>3147</v>
      </c>
      <c r="P3" s="62">
        <f>IFERROR(AVERAGE(C3:N3),"-")</f>
        <v>262.25</v>
      </c>
    </row>
    <row r="4" spans="1:16" ht="14.95" thickBot="1">
      <c r="A4" s="661"/>
      <c r="B4" s="14" t="s">
        <v>23</v>
      </c>
      <c r="C4" s="59">
        <v>4347</v>
      </c>
      <c r="D4" s="59">
        <v>4396</v>
      </c>
      <c r="E4" s="59">
        <v>5553</v>
      </c>
      <c r="F4" s="59">
        <v>5320</v>
      </c>
      <c r="G4" s="59">
        <v>5215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">
        <f>SUM(C4:N4)</f>
        <v>24831</v>
      </c>
      <c r="P4" s="49">
        <f t="shared" ref="P4:P9" si="0">IFERROR(AVERAGE(C4:N4),"-")</f>
        <v>2069.25</v>
      </c>
    </row>
    <row r="5" spans="1:16" ht="14.95" thickBot="1">
      <c r="A5" s="662"/>
      <c r="B5" s="63" t="s">
        <v>24</v>
      </c>
      <c r="C5" s="383">
        <v>18973</v>
      </c>
      <c r="D5" s="383">
        <v>17434</v>
      </c>
      <c r="E5" s="383">
        <v>19450</v>
      </c>
      <c r="F5" s="383">
        <v>18916</v>
      </c>
      <c r="G5" s="383">
        <v>20716</v>
      </c>
      <c r="H5" s="383">
        <v>0</v>
      </c>
      <c r="I5" s="383">
        <v>0</v>
      </c>
      <c r="J5" s="383">
        <v>0</v>
      </c>
      <c r="K5" s="383">
        <v>0</v>
      </c>
      <c r="L5" s="383">
        <v>0</v>
      </c>
      <c r="M5" s="383">
        <v>0</v>
      </c>
      <c r="N5" s="383">
        <v>0</v>
      </c>
      <c r="O5" s="55">
        <f>SUM(C5:N5)</f>
        <v>95489</v>
      </c>
      <c r="P5" s="64">
        <f t="shared" si="0"/>
        <v>7957.416666666667</v>
      </c>
    </row>
    <row r="6" spans="1:16" ht="14.95" thickBot="1">
      <c r="A6" s="663" t="s">
        <v>21</v>
      </c>
      <c r="B6" s="664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5"/>
      <c r="P6" s="265">
        <f>P1</f>
        <v>2022</v>
      </c>
    </row>
    <row r="7" spans="1:16" ht="14.95" thickBot="1">
      <c r="A7" s="660" t="s">
        <v>19</v>
      </c>
      <c r="B7" s="58" t="s">
        <v>22</v>
      </c>
      <c r="C7" s="59">
        <v>205</v>
      </c>
      <c r="D7" s="59">
        <v>119</v>
      </c>
      <c r="E7" s="59">
        <v>78</v>
      </c>
      <c r="F7" s="59">
        <v>217</v>
      </c>
      <c r="G7" s="59">
        <v>498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61">
        <f>SUM(C7:N7)</f>
        <v>1117</v>
      </c>
      <c r="P7" s="62">
        <f>IFERROR(AVERAGE(C7:N7),"-")</f>
        <v>93.083333333333329</v>
      </c>
    </row>
    <row r="8" spans="1:16" ht="14.95" thickBot="1">
      <c r="A8" s="661"/>
      <c r="B8" s="14" t="s">
        <v>23</v>
      </c>
      <c r="C8" s="59">
        <v>1081</v>
      </c>
      <c r="D8" s="59">
        <v>736</v>
      </c>
      <c r="E8" s="59">
        <v>1957</v>
      </c>
      <c r="F8" s="59">
        <v>1498</v>
      </c>
      <c r="G8" s="59">
        <v>2403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">
        <f>SUM(C8:N8)</f>
        <v>7675</v>
      </c>
      <c r="P8" s="49">
        <f t="shared" si="0"/>
        <v>639.58333333333337</v>
      </c>
    </row>
    <row r="9" spans="1:16" ht="14.95" thickBot="1">
      <c r="A9" s="662"/>
      <c r="B9" s="63" t="s">
        <v>24</v>
      </c>
      <c r="C9" s="383">
        <v>6159</v>
      </c>
      <c r="D9" s="383">
        <v>3287</v>
      </c>
      <c r="E9" s="383">
        <v>5735</v>
      </c>
      <c r="F9" s="383">
        <v>7549</v>
      </c>
      <c r="G9" s="383">
        <v>11001</v>
      </c>
      <c r="H9" s="383">
        <v>0</v>
      </c>
      <c r="I9" s="383">
        <v>0</v>
      </c>
      <c r="J9" s="383">
        <v>0</v>
      </c>
      <c r="K9" s="383">
        <v>0</v>
      </c>
      <c r="L9" s="383">
        <v>0</v>
      </c>
      <c r="M9" s="383">
        <v>0</v>
      </c>
      <c r="N9" s="383">
        <v>0</v>
      </c>
      <c r="O9" s="55">
        <f>SUM(C9:N9)</f>
        <v>33731</v>
      </c>
      <c r="P9" s="64">
        <f t="shared" si="0"/>
        <v>2810.9166666666665</v>
      </c>
    </row>
    <row r="10" spans="1:16" ht="14.95" thickBot="1">
      <c r="A10" s="663" t="s">
        <v>21</v>
      </c>
      <c r="B10" s="664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5"/>
      <c r="P10" s="265">
        <f>P1</f>
        <v>2022</v>
      </c>
    </row>
    <row r="11" spans="1:16" ht="14.95" thickBot="1">
      <c r="A11" s="660" t="s">
        <v>20</v>
      </c>
      <c r="B11" s="58" t="s">
        <v>22</v>
      </c>
      <c r="C11" s="60">
        <v>12</v>
      </c>
      <c r="D11" s="60">
        <v>17</v>
      </c>
      <c r="E11" s="60">
        <v>13</v>
      </c>
      <c r="F11" s="60">
        <v>9</v>
      </c>
      <c r="G11" s="60">
        <v>21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1">
        <f>SUM(C11:N11)</f>
        <v>72</v>
      </c>
      <c r="P11" s="62">
        <f>IFERROR(AVERAGE(C11:N11),"-")</f>
        <v>6</v>
      </c>
    </row>
    <row r="12" spans="1:16" ht="14.95" thickBot="1">
      <c r="A12" s="661"/>
      <c r="B12" s="14" t="s">
        <v>23</v>
      </c>
      <c r="C12" s="60">
        <v>4422</v>
      </c>
      <c r="D12" s="60">
        <v>1200</v>
      </c>
      <c r="E12" s="60">
        <v>164</v>
      </c>
      <c r="F12" s="60">
        <v>2189</v>
      </c>
      <c r="G12" s="60">
        <v>3173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5">
        <f>SUM(C12:N12)</f>
        <v>11148</v>
      </c>
      <c r="P12" s="49">
        <f>IFERROR(AVERAGE(C12:N12),"-")</f>
        <v>929</v>
      </c>
    </row>
    <row r="13" spans="1:16" ht="14.95" thickBot="1">
      <c r="A13" s="662"/>
      <c r="B13" s="63" t="s">
        <v>24</v>
      </c>
      <c r="C13" s="384">
        <v>5533</v>
      </c>
      <c r="D13" s="384">
        <v>4301</v>
      </c>
      <c r="E13" s="384">
        <v>5878</v>
      </c>
      <c r="F13" s="384">
        <v>5212</v>
      </c>
      <c r="G13" s="384">
        <v>5280</v>
      </c>
      <c r="H13" s="384">
        <v>0</v>
      </c>
      <c r="I13" s="384">
        <v>0</v>
      </c>
      <c r="J13" s="420">
        <v>0</v>
      </c>
      <c r="K13" s="384">
        <v>0</v>
      </c>
      <c r="L13" s="384">
        <v>0</v>
      </c>
      <c r="M13" s="384">
        <v>0</v>
      </c>
      <c r="N13" s="384">
        <v>0</v>
      </c>
      <c r="O13" s="55">
        <f>SUM(C13:N13)</f>
        <v>26204</v>
      </c>
      <c r="P13" s="64">
        <f>IFERROR(AVERAGE(C13:N13),"-")</f>
        <v>2183.6666666666665</v>
      </c>
    </row>
    <row r="14" spans="1:16">
      <c r="A14" s="266"/>
      <c r="E14" s="13">
        <v>148</v>
      </c>
    </row>
    <row r="18" spans="5:5">
      <c r="E18" s="13">
        <v>6228</v>
      </c>
    </row>
    <row r="20" spans="5:5">
      <c r="E20" s="13">
        <v>894</v>
      </c>
    </row>
  </sheetData>
  <customSheetViews>
    <customSheetView guid="{735276B6-8B53-4447-B7C2-CBEDAEBC1390}" showPageBreaks="1" showGridLines="0" printArea="1" view="pageBreakPreview" topLeftCell="A24">
      <selection activeCell="F18" sqref="F18"/>
      <pageMargins left="0.39370078740157483" right="0.39370078740157483" top="0.86614173228346458" bottom="0" header="0.31496062992125984" footer="0.31496062992125984"/>
      <printOptions horizontalCentered="1"/>
      <pageSetup paperSize="9" scale="72" orientation="landscape" r:id="rId1"/>
      <headerFooter>
        <oddHeader>&amp;L&amp;G&amp;CProntos Socorros Municipais de Taboão da SerraSPDM - Associação Paulista para o Desenvolvimento da Medicina&amp;R&amp;G</oddHeader>
        <oddFooter>&amp;R9</oddFooter>
      </headerFooter>
    </customSheetView>
  </customSheetViews>
  <mergeCells count="6">
    <mergeCell ref="A3:A5"/>
    <mergeCell ref="A7:A9"/>
    <mergeCell ref="A11:A13"/>
    <mergeCell ref="A1:O1"/>
    <mergeCell ref="A6:O6"/>
    <mergeCell ref="A10:O10"/>
  </mergeCells>
  <printOptions horizontalCentered="1" verticalCentered="1"/>
  <pageMargins left="0" right="0" top="0.98425196850393704" bottom="0" header="0.31496062992125984" footer="0.31496062992125984"/>
  <pageSetup paperSize="9" scale="67" orientation="landscape" r:id="rId2"/>
  <headerFooter>
    <oddHeader>&amp;L&amp;G&amp;C&amp;"-,Negrito"Prontos Socorros Municipais de Taboão da Serra 
SPDM - Associação Paulista para o Desenvolvimento da Medicina&amp;R&amp;G</oddHeader>
    <oddFooter>&amp;R9</oddFooter>
  </headerFooter>
  <rowBreaks count="1" manualBreakCount="1">
    <brk id="59" max="15" man="1"/>
  </rowBreaks>
  <drawing r:id="rId3"/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  <pageSetUpPr fitToPage="1"/>
  </sheetPr>
  <dimension ref="A2:U21"/>
  <sheetViews>
    <sheetView showGridLines="0" view="pageBreakPreview" zoomScaleNormal="100" zoomScaleSheetLayoutView="100" workbookViewId="0">
      <selection activeCell="R9" sqref="R9"/>
    </sheetView>
  </sheetViews>
  <sheetFormatPr defaultColWidth="9.125" defaultRowHeight="13.6"/>
  <cols>
    <col min="1" max="1" width="10.875" style="105" bestFit="1" customWidth="1"/>
    <col min="2" max="2" width="28.75" style="105" bestFit="1" customWidth="1"/>
    <col min="3" max="13" width="10.125" style="105" customWidth="1"/>
    <col min="14" max="14" width="10.25" style="105" bestFit="1" customWidth="1"/>
    <col min="15" max="16" width="10.125" style="105" customWidth="1"/>
    <col min="17" max="16384" width="9.125" style="105"/>
  </cols>
  <sheetData>
    <row r="2" spans="1:21" ht="14.3" thickBot="1"/>
    <row r="3" spans="1:21" ht="14.3">
      <c r="A3" s="670" t="s">
        <v>267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2"/>
    </row>
    <row r="4" spans="1:21" ht="16.5" customHeight="1">
      <c r="P4" s="131"/>
    </row>
    <row r="5" spans="1:21" ht="14.3">
      <c r="A5" s="113" t="s">
        <v>97</v>
      </c>
      <c r="B5" s="132"/>
      <c r="C5" s="113" t="s">
        <v>30</v>
      </c>
      <c r="D5" s="113" t="s">
        <v>31</v>
      </c>
      <c r="E5" s="113" t="s">
        <v>2</v>
      </c>
      <c r="F5" s="113" t="s">
        <v>32</v>
      </c>
      <c r="G5" s="113" t="s">
        <v>33</v>
      </c>
      <c r="H5" s="113" t="s">
        <v>54</v>
      </c>
      <c r="I5" s="113" t="s">
        <v>55</v>
      </c>
      <c r="J5" s="113" t="s">
        <v>56</v>
      </c>
      <c r="K5" s="113" t="s">
        <v>57</v>
      </c>
      <c r="L5" s="113" t="s">
        <v>58</v>
      </c>
      <c r="M5" s="113" t="s">
        <v>59</v>
      </c>
      <c r="N5" s="113" t="s">
        <v>60</v>
      </c>
      <c r="O5" s="69" t="s">
        <v>16</v>
      </c>
      <c r="P5" s="294" t="s">
        <v>17</v>
      </c>
    </row>
    <row r="6" spans="1:21" ht="14.3">
      <c r="A6" s="627" t="s">
        <v>18</v>
      </c>
      <c r="B6" s="133" t="s">
        <v>113</v>
      </c>
      <c r="C6" s="112">
        <v>8681</v>
      </c>
      <c r="D6" s="112">
        <v>8505</v>
      </c>
      <c r="E6" s="112">
        <v>8859</v>
      </c>
      <c r="F6" s="112">
        <v>8532</v>
      </c>
      <c r="G6" s="112">
        <v>9086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5">
        <f>SUM(C6:N6)</f>
        <v>43663</v>
      </c>
      <c r="P6" s="288">
        <f>IFERROR(AVERAGE(C6:N6),"-")</f>
        <v>3638.5833333333335</v>
      </c>
    </row>
    <row r="7" spans="1:21" ht="14.3">
      <c r="A7" s="627"/>
      <c r="B7" s="133" t="s">
        <v>116</v>
      </c>
      <c r="C7" s="112">
        <v>514</v>
      </c>
      <c r="D7" s="112">
        <v>570</v>
      </c>
      <c r="E7" s="112">
        <v>477</v>
      </c>
      <c r="F7" s="112">
        <v>706</v>
      </c>
      <c r="G7" s="112">
        <v>410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5">
        <f>SUM(C7:N7)</f>
        <v>2677</v>
      </c>
      <c r="P7" s="288">
        <f>IFERROR(AVERAGE(C7:N7),"-")</f>
        <v>223.08333333333334</v>
      </c>
    </row>
    <row r="8" spans="1:21" ht="14.3">
      <c r="A8" s="627"/>
      <c r="B8" s="133" t="s">
        <v>117</v>
      </c>
      <c r="C8" s="112">
        <v>149</v>
      </c>
      <c r="D8" s="112">
        <v>139</v>
      </c>
      <c r="E8" s="112">
        <v>114</v>
      </c>
      <c r="F8" s="112">
        <v>145</v>
      </c>
      <c r="G8" s="112">
        <v>155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5">
        <f>SUM(C8:N8)</f>
        <v>702</v>
      </c>
      <c r="P8" s="288">
        <f>IFERROR(AVERAGE(C8:N8),"-")</f>
        <v>58.5</v>
      </c>
    </row>
    <row r="9" spans="1:21" ht="14.3">
      <c r="A9" s="627"/>
      <c r="B9" s="132" t="s">
        <v>37</v>
      </c>
      <c r="C9" s="134">
        <f>SUM(C6:C8)</f>
        <v>9344</v>
      </c>
      <c r="D9" s="134">
        <f t="shared" ref="D9:N9" si="0">SUM(D6:D8)</f>
        <v>9214</v>
      </c>
      <c r="E9" s="134">
        <f t="shared" si="0"/>
        <v>9450</v>
      </c>
      <c r="F9" s="134">
        <f t="shared" si="0"/>
        <v>9383</v>
      </c>
      <c r="G9" s="134">
        <f t="shared" si="0"/>
        <v>9651</v>
      </c>
      <c r="H9" s="134">
        <f t="shared" si="0"/>
        <v>0</v>
      </c>
      <c r="I9" s="134">
        <f t="shared" si="0"/>
        <v>0</v>
      </c>
      <c r="J9" s="134">
        <f t="shared" si="0"/>
        <v>0</v>
      </c>
      <c r="K9" s="134">
        <f t="shared" si="0"/>
        <v>0</v>
      </c>
      <c r="L9" s="134">
        <f t="shared" si="0"/>
        <v>0</v>
      </c>
      <c r="M9" s="134">
        <f t="shared" si="0"/>
        <v>0</v>
      </c>
      <c r="N9" s="134">
        <f t="shared" si="0"/>
        <v>0</v>
      </c>
      <c r="O9" s="295">
        <f>SUM(C9:N9)</f>
        <v>47042</v>
      </c>
      <c r="P9" s="296">
        <f>AVERAGE(C9:N9)</f>
        <v>3920.1666666666665</v>
      </c>
    </row>
    <row r="10" spans="1:21" ht="12.75" customHeight="1">
      <c r="A10" s="673"/>
      <c r="B10" s="674"/>
      <c r="C10" s="674"/>
      <c r="D10" s="674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74"/>
      <c r="P10" s="675"/>
    </row>
    <row r="11" spans="1:21" ht="12.75" customHeight="1">
      <c r="A11" s="667" t="s">
        <v>19</v>
      </c>
      <c r="B11" s="132"/>
      <c r="C11" s="113" t="s">
        <v>30</v>
      </c>
      <c r="D11" s="113" t="s">
        <v>31</v>
      </c>
      <c r="E11" s="113" t="s">
        <v>2</v>
      </c>
      <c r="F11" s="113" t="s">
        <v>32</v>
      </c>
      <c r="G11" s="113" t="s">
        <v>33</v>
      </c>
      <c r="H11" s="113" t="s">
        <v>54</v>
      </c>
      <c r="I11" s="113" t="s">
        <v>55</v>
      </c>
      <c r="J11" s="113" t="s">
        <v>56</v>
      </c>
      <c r="K11" s="113" t="s">
        <v>57</v>
      </c>
      <c r="L11" s="113" t="s">
        <v>58</v>
      </c>
      <c r="M11" s="113" t="s">
        <v>59</v>
      </c>
      <c r="N11" s="113" t="s">
        <v>60</v>
      </c>
      <c r="O11" s="113" t="s">
        <v>16</v>
      </c>
      <c r="P11" s="128" t="s">
        <v>17</v>
      </c>
    </row>
    <row r="12" spans="1:21">
      <c r="A12" s="668"/>
      <c r="B12" s="133" t="s">
        <v>114</v>
      </c>
      <c r="C12" s="112">
        <v>4693</v>
      </c>
      <c r="D12" s="112">
        <v>3457</v>
      </c>
      <c r="E12" s="112">
        <v>6023</v>
      </c>
      <c r="F12" s="112">
        <v>4414</v>
      </c>
      <c r="G12" s="112">
        <v>4558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292">
        <f>SUM(C12:N12)</f>
        <v>23145</v>
      </c>
      <c r="P12" s="293">
        <f>IFERROR(AVERAGE(C12:N12),"-")</f>
        <v>1928.75</v>
      </c>
    </row>
    <row r="13" spans="1:21">
      <c r="A13" s="668"/>
      <c r="B13" s="133" t="s">
        <v>118</v>
      </c>
      <c r="C13" s="112">
        <v>267</v>
      </c>
      <c r="D13" s="112">
        <v>253</v>
      </c>
      <c r="E13" s="112">
        <v>173</v>
      </c>
      <c r="F13" s="112">
        <v>76</v>
      </c>
      <c r="G13" s="112">
        <v>187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292">
        <f>SUM(C13:N13)</f>
        <v>956</v>
      </c>
      <c r="P13" s="293">
        <f>IFERROR(AVERAGE(C13:N13),"-")</f>
        <v>79.666666666666671</v>
      </c>
    </row>
    <row r="14" spans="1:21">
      <c r="A14" s="668"/>
      <c r="B14" s="133" t="s">
        <v>119</v>
      </c>
      <c r="C14" s="112">
        <v>0</v>
      </c>
      <c r="D14" s="112">
        <v>94</v>
      </c>
      <c r="E14" s="112">
        <v>653</v>
      </c>
      <c r="F14" s="112">
        <v>363</v>
      </c>
      <c r="G14" s="112">
        <v>296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292">
        <f>SUM(C14:N14)</f>
        <v>1406</v>
      </c>
      <c r="P14" s="293">
        <f>IFERROR(AVERAGE(C14:N14),"-")</f>
        <v>117.16666666666667</v>
      </c>
    </row>
    <row r="15" spans="1:21">
      <c r="A15" s="676"/>
      <c r="B15" s="132" t="s">
        <v>37</v>
      </c>
      <c r="C15" s="134">
        <f>SUM(C12:C14)</f>
        <v>4960</v>
      </c>
      <c r="D15" s="134">
        <f t="shared" ref="D15:N15" si="1">SUM(D12:D14)</f>
        <v>3804</v>
      </c>
      <c r="E15" s="134">
        <f t="shared" si="1"/>
        <v>6849</v>
      </c>
      <c r="F15" s="134">
        <f t="shared" si="1"/>
        <v>4853</v>
      </c>
      <c r="G15" s="134">
        <f t="shared" si="1"/>
        <v>5041</v>
      </c>
      <c r="H15" s="134">
        <f t="shared" si="1"/>
        <v>0</v>
      </c>
      <c r="I15" s="134">
        <f t="shared" si="1"/>
        <v>0</v>
      </c>
      <c r="J15" s="134">
        <f t="shared" si="1"/>
        <v>0</v>
      </c>
      <c r="K15" s="134">
        <f t="shared" si="1"/>
        <v>0</v>
      </c>
      <c r="L15" s="134">
        <f t="shared" si="1"/>
        <v>0</v>
      </c>
      <c r="M15" s="134">
        <f t="shared" si="1"/>
        <v>0</v>
      </c>
      <c r="N15" s="134">
        <f t="shared" si="1"/>
        <v>0</v>
      </c>
      <c r="O15" s="134">
        <f>SUM(C15:N15)</f>
        <v>25507</v>
      </c>
      <c r="P15" s="135">
        <f>AVERAGE(C15:N15)</f>
        <v>2125.5833333333335</v>
      </c>
      <c r="U15" s="106"/>
    </row>
    <row r="16" spans="1:21" ht="13.6" customHeight="1">
      <c r="A16" s="673"/>
      <c r="B16" s="674"/>
      <c r="C16" s="674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5"/>
    </row>
    <row r="17" spans="1:16" ht="13.6" customHeight="1">
      <c r="A17" s="667" t="s">
        <v>20</v>
      </c>
      <c r="B17" s="132"/>
      <c r="C17" s="109" t="s">
        <v>30</v>
      </c>
      <c r="D17" s="109" t="s">
        <v>31</v>
      </c>
      <c r="E17" s="109" t="s">
        <v>2</v>
      </c>
      <c r="F17" s="109" t="s">
        <v>32</v>
      </c>
      <c r="G17" s="109" t="s">
        <v>33</v>
      </c>
      <c r="H17" s="109" t="s">
        <v>54</v>
      </c>
      <c r="I17" s="109" t="s">
        <v>55</v>
      </c>
      <c r="J17" s="109" t="s">
        <v>56</v>
      </c>
      <c r="K17" s="109" t="s">
        <v>57</v>
      </c>
      <c r="L17" s="109" t="s">
        <v>58</v>
      </c>
      <c r="M17" s="109" t="s">
        <v>59</v>
      </c>
      <c r="N17" s="109" t="s">
        <v>60</v>
      </c>
      <c r="O17" s="109" t="s">
        <v>16</v>
      </c>
      <c r="P17" s="110" t="s">
        <v>17</v>
      </c>
    </row>
    <row r="18" spans="1:16">
      <c r="A18" s="668"/>
      <c r="B18" s="133" t="s">
        <v>115</v>
      </c>
      <c r="C18" s="112">
        <v>5375</v>
      </c>
      <c r="D18" s="112">
        <v>4160</v>
      </c>
      <c r="E18" s="112">
        <v>4090</v>
      </c>
      <c r="F18" s="112">
        <v>4950</v>
      </c>
      <c r="G18" s="112">
        <v>5204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292">
        <f>SUM(C18:N18)</f>
        <v>23779</v>
      </c>
      <c r="P18" s="293">
        <f>IFERROR(AVERAGE(C18:N18),"-")</f>
        <v>1981.5833333333333</v>
      </c>
    </row>
    <row r="19" spans="1:16">
      <c r="A19" s="668"/>
      <c r="B19" s="133" t="s">
        <v>120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292">
        <f>SUM(C19:N19)</f>
        <v>0</v>
      </c>
      <c r="P19" s="293">
        <f>IFERROR(AVERAGE(C19:N19),"-")</f>
        <v>0</v>
      </c>
    </row>
    <row r="20" spans="1:16">
      <c r="A20" s="668"/>
      <c r="B20" s="133" t="s">
        <v>121</v>
      </c>
      <c r="C20" s="112">
        <v>1072</v>
      </c>
      <c r="D20" s="112">
        <v>558</v>
      </c>
      <c r="E20" s="112">
        <v>301</v>
      </c>
      <c r="F20" s="112">
        <v>833</v>
      </c>
      <c r="G20" s="112">
        <v>938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292">
        <f>SUM(C20:N20)</f>
        <v>3702</v>
      </c>
      <c r="P20" s="293">
        <f>IFERROR(AVERAGE(C20:N20),"-")</f>
        <v>308.5</v>
      </c>
    </row>
    <row r="21" spans="1:16" ht="14.3" thickBot="1">
      <c r="A21" s="669"/>
      <c r="B21" s="136" t="s">
        <v>37</v>
      </c>
      <c r="C21" s="134">
        <f>SUM(C18:C20)</f>
        <v>6447</v>
      </c>
      <c r="D21" s="134">
        <f t="shared" ref="D21:N21" si="2">SUM(D18:D20)</f>
        <v>4718</v>
      </c>
      <c r="E21" s="134">
        <f t="shared" si="2"/>
        <v>4391</v>
      </c>
      <c r="F21" s="134">
        <f t="shared" si="2"/>
        <v>5783</v>
      </c>
      <c r="G21" s="134">
        <f t="shared" si="2"/>
        <v>6142</v>
      </c>
      <c r="H21" s="134">
        <f t="shared" si="2"/>
        <v>0</v>
      </c>
      <c r="I21" s="134">
        <f t="shared" si="2"/>
        <v>0</v>
      </c>
      <c r="J21" s="134">
        <f t="shared" si="2"/>
        <v>0</v>
      </c>
      <c r="K21" s="134">
        <f t="shared" si="2"/>
        <v>0</v>
      </c>
      <c r="L21" s="134">
        <f t="shared" si="2"/>
        <v>0</v>
      </c>
      <c r="M21" s="134">
        <f t="shared" si="2"/>
        <v>0</v>
      </c>
      <c r="N21" s="134">
        <f t="shared" si="2"/>
        <v>0</v>
      </c>
      <c r="O21" s="134">
        <f>SUM(C21:N21)</f>
        <v>27481</v>
      </c>
      <c r="P21" s="135">
        <f>AVERAGE(C21:N21)</f>
        <v>2290.0833333333335</v>
      </c>
    </row>
  </sheetData>
  <customSheetViews>
    <customSheetView guid="{735276B6-8B53-4447-B7C2-CBEDAEBC1390}" showPageBreaks="1" showGridLines="0" printArea="1" view="pageBreakPreview" topLeftCell="A27">
      <selection activeCell="J46" sqref="J46"/>
      <pageMargins left="0.39370078740157483" right="0.39370078740157483" top="0.47244094488188981" bottom="0" header="0.31496062992125984" footer="0.31496062992125984"/>
      <printOptions horizontalCentered="1"/>
      <pageSetup paperSize="9" scale="76" orientation="landscape" r:id="rId1"/>
      <headerFooter>
        <oddHeader>&amp;L&amp;G&amp;CProntos Municipais de Taboão da SerraSPDM - Associação Paulista para o Desenvolvimento da Medicina&amp;R&amp;G</oddHeader>
        <oddFooter>&amp;R11</oddFooter>
      </headerFooter>
    </customSheetView>
  </customSheetViews>
  <mergeCells count="6">
    <mergeCell ref="A17:A21"/>
    <mergeCell ref="A3:P3"/>
    <mergeCell ref="A6:A9"/>
    <mergeCell ref="A10:P10"/>
    <mergeCell ref="A16:P16"/>
    <mergeCell ref="A11:A15"/>
  </mergeCells>
  <printOptions horizontalCentered="1" verticalCentered="1"/>
  <pageMargins left="0" right="0" top="0.47244094488188981" bottom="0" header="0.31496062992125984" footer="0.31496062992125984"/>
  <pageSetup paperSize="9" scale="69" orientation="landscape" r:id="rId2"/>
  <headerFooter>
    <oddHeader>&amp;L&amp;G&amp;C&amp;"-,Negrito"Prontos Socorros Municipais de Taboão da Serra 
SPDM - Associação Paulista para o Desenvolvimento da Medicina&amp;R&amp;G</oddHeader>
    <oddFooter>&amp;R10</oddFooter>
  </headerFooter>
  <rowBreaks count="1" manualBreakCount="1">
    <brk id="57" max="16" man="1"/>
  </rowBreaks>
  <colBreaks count="1" manualBreakCount="1">
    <brk id="16" max="56" man="1"/>
  </colBreaks>
  <drawing r:id="rId3"/>
  <legacyDrawingHF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  <pageSetUpPr fitToPage="1"/>
  </sheetPr>
  <dimension ref="A1:Y81"/>
  <sheetViews>
    <sheetView showGridLines="0" view="pageBreakPreview" zoomScaleNormal="100" zoomScaleSheetLayoutView="100" workbookViewId="0">
      <selection activeCell="F68" sqref="F68"/>
    </sheetView>
  </sheetViews>
  <sheetFormatPr defaultRowHeight="14.3"/>
  <cols>
    <col min="1" max="1" width="19.25" bestFit="1" customWidth="1"/>
    <col min="2" max="11" width="10.125" customWidth="1"/>
    <col min="12" max="12" width="10.375" bestFit="1" customWidth="1"/>
    <col min="13" max="15" width="10.125" customWidth="1"/>
  </cols>
  <sheetData>
    <row r="1" spans="1:25" ht="30.1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46"/>
      <c r="V2" s="46"/>
      <c r="W2" s="46"/>
      <c r="X2" s="46"/>
      <c r="Y2" s="46"/>
    </row>
    <row r="3" spans="1:25">
      <c r="A3" s="677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103"/>
      <c r="Q3" s="103"/>
      <c r="R3" s="103"/>
      <c r="S3" s="103"/>
      <c r="T3" s="103"/>
      <c r="U3" s="46"/>
      <c r="V3" s="46"/>
      <c r="W3" s="46"/>
      <c r="X3" s="46"/>
      <c r="Y3" s="46"/>
    </row>
    <row r="4" spans="1:25">
      <c r="A4" s="678"/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103"/>
      <c r="Q4" s="103"/>
      <c r="R4" s="103"/>
      <c r="S4" s="103"/>
      <c r="T4" s="103"/>
      <c r="U4" s="46"/>
      <c r="V4" s="46"/>
      <c r="W4" s="46"/>
      <c r="X4" s="46"/>
      <c r="Y4" s="46"/>
    </row>
    <row r="5" spans="1: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46"/>
      <c r="V5" s="46"/>
      <c r="W5" s="46"/>
      <c r="X5" s="46"/>
      <c r="Y5" s="46"/>
    </row>
    <row r="6" spans="1:25">
      <c r="A6" s="103"/>
      <c r="B6" s="103"/>
      <c r="C6" s="103"/>
      <c r="D6" s="103"/>
      <c r="E6" s="103">
        <v>8204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46"/>
      <c r="V6" s="46"/>
      <c r="W6" s="46"/>
      <c r="X6" s="46"/>
      <c r="Y6" s="46"/>
    </row>
    <row r="7" spans="1:25" ht="17.350000000000001" hidden="1" customHeight="1">
      <c r="A7" s="103"/>
      <c r="B7" s="103"/>
      <c r="C7" s="103"/>
      <c r="D7" s="103"/>
      <c r="E7" s="103">
        <v>443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46"/>
      <c r="V7" s="46"/>
      <c r="W7" s="46"/>
      <c r="X7" s="46"/>
      <c r="Y7" s="46"/>
    </row>
    <row r="8" spans="1:25">
      <c r="A8" s="103"/>
      <c r="B8" s="103"/>
      <c r="C8" s="103"/>
      <c r="D8" s="103"/>
      <c r="E8" s="103">
        <v>28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46"/>
      <c r="V8" s="46"/>
      <c r="W8" s="46"/>
      <c r="X8" s="46"/>
      <c r="Y8" s="46"/>
    </row>
    <row r="9" spans="1: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46"/>
      <c r="V9" s="46"/>
      <c r="W9" s="46"/>
      <c r="X9" s="46"/>
      <c r="Y9" s="46"/>
    </row>
    <row r="10" spans="1: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46"/>
      <c r="V10" s="46"/>
      <c r="W10" s="46"/>
      <c r="X10" s="46"/>
      <c r="Y10" s="46"/>
    </row>
    <row r="11" spans="1:25" ht="14.95" hidden="1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46"/>
      <c r="V11" s="46"/>
      <c r="W11" s="46"/>
      <c r="X11" s="46"/>
      <c r="Y11" s="46"/>
    </row>
    <row r="12" spans="1:25">
      <c r="A12" s="103"/>
      <c r="B12" s="103"/>
      <c r="C12" s="103"/>
      <c r="D12" s="103"/>
      <c r="E12" s="103">
        <v>3754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46"/>
      <c r="V12" s="46"/>
      <c r="W12" s="46"/>
      <c r="X12" s="46"/>
      <c r="Y12" s="46"/>
    </row>
    <row r="13" spans="1:25">
      <c r="A13" s="103"/>
      <c r="B13" s="103"/>
      <c r="C13" s="103"/>
      <c r="D13" s="103"/>
      <c r="E13" s="103">
        <v>70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6"/>
      <c r="V13" s="46"/>
      <c r="W13" s="46"/>
      <c r="X13" s="46"/>
      <c r="Y13" s="46"/>
    </row>
    <row r="14" spans="1:25">
      <c r="A14" s="103"/>
      <c r="B14" s="103"/>
      <c r="C14" s="103"/>
      <c r="D14" s="103"/>
      <c r="E14" s="103">
        <v>148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46"/>
      <c r="V14" s="46"/>
      <c r="W14" s="46"/>
      <c r="X14" s="46"/>
      <c r="Y14" s="46"/>
    </row>
    <row r="15" spans="1:25" ht="10.55" hidden="1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46"/>
      <c r="V15" s="46"/>
      <c r="W15" s="46"/>
      <c r="X15" s="46"/>
      <c r="Y15" s="46"/>
    </row>
    <row r="16" spans="1: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46"/>
      <c r="V16" s="46"/>
      <c r="W16" s="46"/>
      <c r="X16" s="46"/>
      <c r="Y16" s="46"/>
    </row>
    <row r="17" spans="1: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46"/>
      <c r="V17" s="46"/>
      <c r="W17" s="46"/>
      <c r="X17" s="46"/>
      <c r="Y17" s="46"/>
    </row>
    <row r="18" spans="1:25">
      <c r="A18" s="103"/>
      <c r="B18" s="103"/>
      <c r="C18" s="103"/>
      <c r="D18" s="103"/>
      <c r="E18" s="103">
        <v>6228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46"/>
      <c r="V18" s="46"/>
      <c r="W18" s="46"/>
      <c r="X18" s="46"/>
      <c r="Y18" s="46"/>
    </row>
    <row r="19" spans="1: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46"/>
      <c r="V19" s="46"/>
      <c r="W19" s="46"/>
      <c r="X19" s="46"/>
      <c r="Y19" s="46"/>
    </row>
    <row r="20" spans="1:25">
      <c r="A20" s="103"/>
      <c r="B20" s="103"/>
      <c r="C20" s="103"/>
      <c r="D20" s="103"/>
      <c r="E20" s="103">
        <v>894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46"/>
      <c r="V20" s="46"/>
      <c r="W20" s="46"/>
      <c r="X20" s="46"/>
      <c r="Y20" s="46"/>
    </row>
    <row r="21" spans="1: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46"/>
      <c r="V21" s="46"/>
      <c r="W21" s="46"/>
      <c r="X21" s="46"/>
      <c r="Y21" s="46"/>
    </row>
    <row r="22" spans="1: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46"/>
      <c r="V22" s="46"/>
      <c r="W22" s="46"/>
      <c r="X22" s="46"/>
      <c r="Y22" s="46"/>
    </row>
    <row r="23" spans="1: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46"/>
      <c r="V23" s="46"/>
      <c r="W23" s="46"/>
      <c r="X23" s="46"/>
      <c r="Y23" s="46"/>
    </row>
    <row r="24" spans="1: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6" spans="1:15" ht="25.85">
      <c r="A66" s="679" t="s">
        <v>18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  <c r="N66" s="679"/>
      <c r="O66" s="679"/>
    </row>
    <row r="67" spans="1:15">
      <c r="A67" s="137" t="s">
        <v>156</v>
      </c>
      <c r="B67" s="138" t="s">
        <v>30</v>
      </c>
      <c r="C67" s="138" t="s">
        <v>31</v>
      </c>
      <c r="D67" s="138" t="s">
        <v>2</v>
      </c>
      <c r="E67" s="138" t="s">
        <v>32</v>
      </c>
      <c r="F67" s="138" t="s">
        <v>33</v>
      </c>
      <c r="G67" s="138" t="s">
        <v>54</v>
      </c>
      <c r="H67" s="138" t="s">
        <v>55</v>
      </c>
      <c r="I67" s="138" t="s">
        <v>56</v>
      </c>
      <c r="J67" s="138" t="s">
        <v>57</v>
      </c>
      <c r="K67" s="138" t="s">
        <v>58</v>
      </c>
      <c r="L67" s="138" t="s">
        <v>59</v>
      </c>
      <c r="M67" s="138" t="s">
        <v>60</v>
      </c>
      <c r="N67" s="138" t="s">
        <v>16</v>
      </c>
      <c r="O67" s="138" t="s">
        <v>17</v>
      </c>
    </row>
    <row r="68" spans="1:15">
      <c r="A68" s="139" t="s">
        <v>46</v>
      </c>
      <c r="B68" s="140">
        <v>10813</v>
      </c>
      <c r="C68" s="140">
        <v>11538</v>
      </c>
      <c r="D68" s="140">
        <v>9417</v>
      </c>
      <c r="E68" s="140">
        <v>10885.6</v>
      </c>
      <c r="F68" s="140">
        <v>10358.700000000001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0</v>
      </c>
      <c r="M68" s="140">
        <v>0</v>
      </c>
      <c r="N68" s="141">
        <f>SUM(B68:M68)</f>
        <v>53012.3</v>
      </c>
      <c r="O68" s="141">
        <f>IFERROR(AVERAGE(B68:M68),"-")</f>
        <v>4417.6916666666666</v>
      </c>
    </row>
    <row r="69" spans="1:15">
      <c r="A69" s="139" t="s">
        <v>47</v>
      </c>
      <c r="B69" s="142">
        <v>31</v>
      </c>
      <c r="C69" s="142">
        <v>28</v>
      </c>
      <c r="D69" s="142">
        <v>31</v>
      </c>
      <c r="E69" s="142">
        <v>30</v>
      </c>
      <c r="F69" s="142">
        <v>31</v>
      </c>
      <c r="G69" s="142">
        <v>30</v>
      </c>
      <c r="H69" s="142">
        <v>31</v>
      </c>
      <c r="I69" s="142">
        <v>31</v>
      </c>
      <c r="J69" s="142">
        <v>30</v>
      </c>
      <c r="K69" s="142">
        <v>31</v>
      </c>
      <c r="L69" s="142">
        <v>30</v>
      </c>
      <c r="M69" s="142">
        <v>31</v>
      </c>
      <c r="N69" s="141">
        <f>SUM(B69:M69)</f>
        <v>365</v>
      </c>
      <c r="O69" s="141">
        <f>IFERROR(AVERAGE(B69:M69),"-")</f>
        <v>30.416666666666668</v>
      </c>
    </row>
    <row r="70" spans="1:15">
      <c r="A70" s="139" t="s">
        <v>48</v>
      </c>
      <c r="B70" s="140">
        <f>B68/B69</f>
        <v>348.80645161290323</v>
      </c>
      <c r="C70" s="140">
        <f>C68/C69</f>
        <v>412.07142857142856</v>
      </c>
      <c r="D70" s="140">
        <f>D68/D69</f>
        <v>303.77419354838707</v>
      </c>
      <c r="E70" s="140">
        <f>E68/E69</f>
        <v>362.85333333333335</v>
      </c>
      <c r="F70" s="140">
        <f t="shared" ref="F70:M70" si="0">F68/F69</f>
        <v>334.15161290322584</v>
      </c>
      <c r="G70" s="140">
        <f t="shared" si="0"/>
        <v>0</v>
      </c>
      <c r="H70" s="140">
        <f t="shared" si="0"/>
        <v>0</v>
      </c>
      <c r="I70" s="140">
        <f t="shared" si="0"/>
        <v>0</v>
      </c>
      <c r="J70" s="140">
        <f t="shared" si="0"/>
        <v>0</v>
      </c>
      <c r="K70" s="140">
        <f t="shared" si="0"/>
        <v>0</v>
      </c>
      <c r="L70" s="140">
        <f t="shared" si="0"/>
        <v>0</v>
      </c>
      <c r="M70" s="140">
        <f t="shared" si="0"/>
        <v>0</v>
      </c>
      <c r="N70" s="141">
        <f>SUM(B70:M70)</f>
        <v>1761.6570199692781</v>
      </c>
      <c r="O70" s="141">
        <f>IFERROR(AVERAGE(B70:M70),"-")</f>
        <v>146.8047516641065</v>
      </c>
    </row>
    <row r="71" spans="1:15" ht="25.85">
      <c r="A71" s="680" t="s">
        <v>19</v>
      </c>
      <c r="B71" s="680"/>
      <c r="C71" s="680"/>
      <c r="D71" s="680"/>
      <c r="E71" s="680"/>
      <c r="F71" s="680"/>
      <c r="G71" s="680"/>
      <c r="H71" s="680"/>
      <c r="I71" s="680"/>
      <c r="J71" s="680"/>
      <c r="K71" s="680"/>
      <c r="L71" s="680"/>
      <c r="M71" s="680"/>
      <c r="N71" s="680"/>
      <c r="O71" s="680"/>
    </row>
    <row r="72" spans="1:15">
      <c r="A72" s="137" t="s">
        <v>157</v>
      </c>
      <c r="B72" s="138" t="s">
        <v>30</v>
      </c>
      <c r="C72" s="138" t="s">
        <v>31</v>
      </c>
      <c r="D72" s="138" t="s">
        <v>2</v>
      </c>
      <c r="E72" s="138" t="s">
        <v>32</v>
      </c>
      <c r="F72" s="138" t="s">
        <v>33</v>
      </c>
      <c r="G72" s="138" t="s">
        <v>54</v>
      </c>
      <c r="H72" s="138" t="s">
        <v>55</v>
      </c>
      <c r="I72" s="138" t="s">
        <v>56</v>
      </c>
      <c r="J72" s="138" t="s">
        <v>57</v>
      </c>
      <c r="K72" s="138" t="s">
        <v>58</v>
      </c>
      <c r="L72" s="138" t="s">
        <v>59</v>
      </c>
      <c r="M72" s="138" t="s">
        <v>60</v>
      </c>
      <c r="N72" s="138" t="s">
        <v>16</v>
      </c>
      <c r="O72" s="138" t="s">
        <v>17</v>
      </c>
    </row>
    <row r="73" spans="1:15">
      <c r="A73" s="139" t="s">
        <v>46</v>
      </c>
      <c r="B73" s="140">
        <v>5322</v>
      </c>
      <c r="C73" s="140">
        <v>3631.71</v>
      </c>
      <c r="D73" s="140">
        <v>3945.89</v>
      </c>
      <c r="E73" s="140">
        <v>4454.7700000000004</v>
      </c>
      <c r="F73" s="140">
        <v>3547.9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v>0</v>
      </c>
      <c r="N73" s="141">
        <f>SUM(B73:M73)</f>
        <v>20902.27</v>
      </c>
      <c r="O73" s="141">
        <f>IFERROR(AVERAGE(B73:M73),"-")</f>
        <v>1741.8558333333333</v>
      </c>
    </row>
    <row r="74" spans="1:15">
      <c r="A74" s="139" t="s">
        <v>47</v>
      </c>
      <c r="B74" s="142">
        <v>31</v>
      </c>
      <c r="C74" s="142">
        <v>28</v>
      </c>
      <c r="D74" s="142">
        <v>31</v>
      </c>
      <c r="E74" s="142">
        <v>30</v>
      </c>
      <c r="F74" s="142">
        <v>31</v>
      </c>
      <c r="G74" s="142">
        <v>30</v>
      </c>
      <c r="H74" s="142">
        <v>31</v>
      </c>
      <c r="I74" s="142">
        <v>31</v>
      </c>
      <c r="J74" s="142">
        <v>30</v>
      </c>
      <c r="K74" s="142">
        <v>31</v>
      </c>
      <c r="L74" s="142">
        <v>30</v>
      </c>
      <c r="M74" s="142">
        <v>31</v>
      </c>
      <c r="N74" s="141">
        <f>SUM(B74:M74)</f>
        <v>365</v>
      </c>
      <c r="O74" s="141">
        <f>IFERROR(AVERAGE(B74:M74),"-")</f>
        <v>30.416666666666668</v>
      </c>
    </row>
    <row r="75" spans="1:15">
      <c r="A75" s="139" t="s">
        <v>48</v>
      </c>
      <c r="B75" s="140">
        <f t="shared" ref="B75:M75" si="1">B73/B74</f>
        <v>171.67741935483872</v>
      </c>
      <c r="C75" s="140">
        <f t="shared" si="1"/>
        <v>129.70392857142858</v>
      </c>
      <c r="D75" s="140">
        <f t="shared" si="1"/>
        <v>127.28677419354838</v>
      </c>
      <c r="E75" s="140">
        <f t="shared" si="1"/>
        <v>148.49233333333333</v>
      </c>
      <c r="F75" s="140">
        <f t="shared" si="1"/>
        <v>114.4483870967742</v>
      </c>
      <c r="G75" s="140">
        <f t="shared" si="1"/>
        <v>0</v>
      </c>
      <c r="H75" s="140">
        <f t="shared" si="1"/>
        <v>0</v>
      </c>
      <c r="I75" s="140">
        <f t="shared" si="1"/>
        <v>0</v>
      </c>
      <c r="J75" s="140">
        <f t="shared" si="1"/>
        <v>0</v>
      </c>
      <c r="K75" s="140">
        <f t="shared" si="1"/>
        <v>0</v>
      </c>
      <c r="L75" s="140">
        <f t="shared" si="1"/>
        <v>0</v>
      </c>
      <c r="M75" s="140">
        <f t="shared" si="1"/>
        <v>0</v>
      </c>
      <c r="N75" s="141">
        <f>SUM(B75:M75)</f>
        <v>691.60884254992322</v>
      </c>
      <c r="O75" s="141">
        <f>IFERROR(AVERAGE(B75:M75),"-")</f>
        <v>57.634070212493604</v>
      </c>
    </row>
    <row r="76" spans="1:15" ht="28.55">
      <c r="A76" s="681" t="s">
        <v>20</v>
      </c>
      <c r="B76" s="681"/>
      <c r="C76" s="681"/>
      <c r="D76" s="68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/>
    </row>
    <row r="77" spans="1:15">
      <c r="A77" s="137" t="s">
        <v>158</v>
      </c>
      <c r="B77" s="138" t="s">
        <v>30</v>
      </c>
      <c r="C77" s="138" t="s">
        <v>31</v>
      </c>
      <c r="D77" s="138" t="s">
        <v>2</v>
      </c>
      <c r="E77" s="138" t="s">
        <v>32</v>
      </c>
      <c r="F77" s="138" t="s">
        <v>33</v>
      </c>
      <c r="G77" s="138" t="s">
        <v>54</v>
      </c>
      <c r="H77" s="138" t="s">
        <v>55</v>
      </c>
      <c r="I77" s="138" t="s">
        <v>56</v>
      </c>
      <c r="J77" s="138" t="s">
        <v>57</v>
      </c>
      <c r="K77" s="138" t="s">
        <v>58</v>
      </c>
      <c r="L77" s="138" t="s">
        <v>59</v>
      </c>
      <c r="M77" s="138" t="s">
        <v>60</v>
      </c>
      <c r="N77" s="138" t="s">
        <v>16</v>
      </c>
      <c r="O77" s="138" t="s">
        <v>17</v>
      </c>
    </row>
    <row r="78" spans="1:15">
      <c r="A78" s="139" t="s">
        <v>46</v>
      </c>
      <c r="B78" s="140">
        <v>4810</v>
      </c>
      <c r="C78" s="140">
        <v>4480.55</v>
      </c>
      <c r="D78" s="140">
        <v>2611</v>
      </c>
      <c r="E78" s="140">
        <v>2869</v>
      </c>
      <c r="F78" s="140">
        <v>2650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1">
        <f>SUM(B78:M78)</f>
        <v>17420.55</v>
      </c>
      <c r="O78" s="141">
        <f>IFERROR(AVERAGE(B78:M78),"-")</f>
        <v>1451.7124999999999</v>
      </c>
    </row>
    <row r="79" spans="1:15">
      <c r="A79" s="139" t="s">
        <v>47</v>
      </c>
      <c r="B79" s="142">
        <v>31</v>
      </c>
      <c r="C79" s="142">
        <v>28</v>
      </c>
      <c r="D79" s="142">
        <v>31</v>
      </c>
      <c r="E79" s="142">
        <v>30</v>
      </c>
      <c r="F79" s="142">
        <v>31</v>
      </c>
      <c r="G79" s="142">
        <v>30</v>
      </c>
      <c r="H79" s="142">
        <v>31</v>
      </c>
      <c r="I79" s="142">
        <v>31</v>
      </c>
      <c r="J79" s="142">
        <v>30</v>
      </c>
      <c r="K79" s="142">
        <v>31</v>
      </c>
      <c r="L79" s="142">
        <v>30</v>
      </c>
      <c r="M79" s="142">
        <v>31</v>
      </c>
      <c r="N79" s="141">
        <f>SUM(B79:M79)</f>
        <v>365</v>
      </c>
      <c r="O79" s="141">
        <f>IFERROR(AVERAGE(B79:M79),"-")</f>
        <v>30.416666666666668</v>
      </c>
    </row>
    <row r="80" spans="1:15">
      <c r="A80" s="139" t="s">
        <v>48</v>
      </c>
      <c r="B80" s="140">
        <f t="shared" ref="B80:M80" si="2">B78/B79</f>
        <v>155.16129032258064</v>
      </c>
      <c r="C80" s="140">
        <f t="shared" si="2"/>
        <v>160.01964285714286</v>
      </c>
      <c r="D80" s="140">
        <f t="shared" si="2"/>
        <v>84.225806451612897</v>
      </c>
      <c r="E80" s="140">
        <f t="shared" si="2"/>
        <v>95.63333333333334</v>
      </c>
      <c r="F80" s="140">
        <f t="shared" si="2"/>
        <v>85.483870967741936</v>
      </c>
      <c r="G80" s="140">
        <f t="shared" si="2"/>
        <v>0</v>
      </c>
      <c r="H80" s="140">
        <f t="shared" si="2"/>
        <v>0</v>
      </c>
      <c r="I80" s="140">
        <f t="shared" si="2"/>
        <v>0</v>
      </c>
      <c r="J80" s="140">
        <f t="shared" si="2"/>
        <v>0</v>
      </c>
      <c r="K80" s="140">
        <f t="shared" si="2"/>
        <v>0</v>
      </c>
      <c r="L80" s="140">
        <f t="shared" si="2"/>
        <v>0</v>
      </c>
      <c r="M80" s="140">
        <f t="shared" si="2"/>
        <v>0</v>
      </c>
      <c r="N80" s="141">
        <f>SUM(B80:M80)</f>
        <v>580.52394393241173</v>
      </c>
      <c r="O80" s="141">
        <f>IFERROR(AVERAGE(B80:M80),"-")</f>
        <v>48.376995327700975</v>
      </c>
    </row>
    <row r="81" spans="1: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</sheetData>
  <customSheetViews>
    <customSheetView guid="{735276B6-8B53-4447-B7C2-CBEDAEBC1390}" showPageBreaks="1" showGridLines="0" printArea="1" hiddenRows="1" view="pageBreakPreview" topLeftCell="A23">
      <selection activeCell="L20" sqref="L20"/>
      <pageMargins left="0.39370078740157483" right="0.39370078740157483" top="0.47244094488188981" bottom="0" header="0.31496062992125984" footer="0.31496062992125984"/>
      <printOptions horizontalCentered="1"/>
      <pageSetup paperSize="9" scale="80" orientation="landscape" r:id="rId1"/>
      <headerFooter>
        <oddHeader>&amp;L&amp;G&amp;CProntos Municipais de Taboão da SerraSPDM - Associação Paulista para o Desenvolvimento da Medicina&amp;R&amp;G</oddHeader>
        <oddFooter>&amp;R10</oddFooter>
      </headerFooter>
    </customSheetView>
  </customSheetViews>
  <mergeCells count="5">
    <mergeCell ref="A3:O3"/>
    <mergeCell ref="A4:O4"/>
    <mergeCell ref="A66:O66"/>
    <mergeCell ref="A71:O71"/>
    <mergeCell ref="A76:O76"/>
  </mergeCells>
  <printOptions horizontalCentered="1" verticalCentered="1"/>
  <pageMargins left="0" right="0" top="0.47244094488188981" bottom="0" header="0.31496062992125984" footer="0.31496062992125984"/>
  <pageSetup paperSize="9" scale="63" orientation="landscape" r:id="rId2"/>
  <headerFooter>
    <oddHeader>&amp;L&amp;G&amp;C&amp;"-,Negrito"Prontos Socorros Municipais de Taboão da Serra 
SPDM - Associação Paulista para o Desenvolvimento da Medicina&amp;R&amp;G</oddHeader>
    <oddFooter xml:space="preserve">&amp;R11
</oddFooter>
  </headerFooter>
  <rowBreaks count="1" manualBreakCount="1">
    <brk id="62" max="18" man="1"/>
  </rowBreaks>
  <drawing r:id="rId3"/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AQ131"/>
  <sheetViews>
    <sheetView showGridLines="0" view="pageBreakPreview" zoomScale="78" zoomScaleNormal="78" zoomScaleSheetLayoutView="78" zoomScalePageLayoutView="80" workbookViewId="0">
      <selection activeCell="T92" sqref="T92"/>
    </sheetView>
  </sheetViews>
  <sheetFormatPr defaultRowHeight="14.3"/>
  <cols>
    <col min="1" max="1" width="24.625" style="183" bestFit="1" customWidth="1"/>
    <col min="2" max="2" width="18.875" style="44" bestFit="1" customWidth="1"/>
    <col min="3" max="14" width="7.375" style="44" customWidth="1"/>
    <col min="15" max="15" width="8.25" style="44" bestFit="1" customWidth="1"/>
    <col min="16" max="16" width="9.125" style="44" bestFit="1" customWidth="1"/>
    <col min="17" max="19" width="7.375" style="44" customWidth="1"/>
    <col min="20" max="20" width="8" style="44" bestFit="1" customWidth="1"/>
    <col min="21" max="23" width="7.375" style="44" customWidth="1"/>
    <col min="24" max="24" width="9.25" style="44" customWidth="1"/>
    <col min="25" max="25" width="7.125" style="44" bestFit="1" customWidth="1"/>
    <col min="26" max="26" width="5.75" style="44" customWidth="1"/>
    <col min="27" max="28" width="9.125" style="44"/>
    <col min="30" max="30" width="12.25" bestFit="1" customWidth="1"/>
    <col min="31" max="32" width="9.25" bestFit="1" customWidth="1"/>
    <col min="33" max="33" width="11.625" bestFit="1" customWidth="1"/>
    <col min="34" max="36" width="9.25" bestFit="1" customWidth="1"/>
    <col min="37" max="37" width="14.625" bestFit="1" customWidth="1"/>
    <col min="38" max="38" width="13.375" bestFit="1" customWidth="1"/>
    <col min="39" max="42" width="9.25" bestFit="1" customWidth="1"/>
    <col min="43" max="43" width="10.125" customWidth="1"/>
  </cols>
  <sheetData>
    <row r="1" spans="5:31">
      <c r="AC1" s="17"/>
    </row>
    <row r="2" spans="5:31">
      <c r="AC2" s="17"/>
    </row>
    <row r="3" spans="5:31">
      <c r="AC3" s="17"/>
    </row>
    <row r="4" spans="5:31">
      <c r="AC4" s="17"/>
    </row>
    <row r="5" spans="5:31">
      <c r="AC5" s="17"/>
    </row>
    <row r="6" spans="5:31">
      <c r="E6" s="44">
        <v>8204</v>
      </c>
      <c r="AC6" s="17"/>
    </row>
    <row r="7" spans="5:31">
      <c r="E7" s="44">
        <v>443</v>
      </c>
      <c r="AC7" s="17"/>
    </row>
    <row r="8" spans="5:31">
      <c r="E8" s="44">
        <v>28</v>
      </c>
      <c r="AC8" s="17"/>
    </row>
    <row r="9" spans="5:31">
      <c r="AC9" s="17"/>
    </row>
    <row r="10" spans="5:31">
      <c r="AC10" s="17"/>
      <c r="AE10" s="42"/>
    </row>
    <row r="11" spans="5:31">
      <c r="AC11" s="17"/>
      <c r="AE11" s="42"/>
    </row>
    <row r="12" spans="5:31">
      <c r="E12" s="44">
        <v>3754</v>
      </c>
      <c r="AC12" s="17"/>
      <c r="AE12" s="42"/>
    </row>
    <row r="13" spans="5:31">
      <c r="E13" s="44">
        <v>70</v>
      </c>
      <c r="AC13" s="17"/>
      <c r="AE13" s="42"/>
    </row>
    <row r="14" spans="5:31">
      <c r="E14" s="44">
        <v>148</v>
      </c>
      <c r="AC14" s="17"/>
      <c r="AE14" s="42"/>
    </row>
    <row r="15" spans="5:31">
      <c r="AC15" s="17"/>
      <c r="AE15" s="42"/>
    </row>
    <row r="16" spans="5:31">
      <c r="AC16" s="17"/>
      <c r="AE16" s="42"/>
    </row>
    <row r="17" spans="5:31">
      <c r="AC17" s="17"/>
      <c r="AE17" s="42"/>
    </row>
    <row r="18" spans="5:31">
      <c r="E18" s="44">
        <v>6228</v>
      </c>
      <c r="AC18" s="17"/>
      <c r="AE18" s="42"/>
    </row>
    <row r="19" spans="5:31">
      <c r="AC19" s="17"/>
      <c r="AE19" s="42"/>
    </row>
    <row r="20" spans="5:31">
      <c r="E20" s="44">
        <v>894</v>
      </c>
      <c r="AC20" s="17"/>
      <c r="AE20" s="42"/>
    </row>
    <row r="21" spans="5:31">
      <c r="AC21" s="17"/>
      <c r="AE21" s="42"/>
    </row>
    <row r="22" spans="5:31">
      <c r="AC22" s="17"/>
      <c r="AE22" s="42"/>
    </row>
    <row r="23" spans="5:31">
      <c r="AC23" s="17"/>
      <c r="AE23" s="42"/>
    </row>
    <row r="24" spans="5:31">
      <c r="AC24" s="17"/>
      <c r="AE24" s="42"/>
    </row>
    <row r="25" spans="5:31">
      <c r="AC25" s="17"/>
      <c r="AE25" s="42"/>
    </row>
    <row r="26" spans="5:31">
      <c r="AC26" s="17"/>
      <c r="AE26" s="42"/>
    </row>
    <row r="27" spans="5:31" s="17" customFormat="1">
      <c r="AE27" s="103"/>
    </row>
    <row r="28" spans="5:31" s="17" customFormat="1">
      <c r="AC28" s="44"/>
      <c r="AE28" s="103"/>
    </row>
    <row r="29" spans="5:31" s="17" customFormat="1">
      <c r="AC29" s="44"/>
      <c r="AE29" s="103"/>
    </row>
    <row r="30" spans="5:31">
      <c r="AC30" s="44"/>
      <c r="AE30" s="42"/>
    </row>
    <row r="31" spans="5:31">
      <c r="AC31" s="44"/>
      <c r="AE31" s="42"/>
    </row>
    <row r="32" spans="5:31">
      <c r="AC32" s="44"/>
      <c r="AE32" s="42"/>
    </row>
    <row r="33" spans="29:31">
      <c r="AC33" s="44"/>
      <c r="AE33" s="42"/>
    </row>
    <row r="34" spans="29:31">
      <c r="AC34" s="44"/>
      <c r="AE34" s="42"/>
    </row>
    <row r="35" spans="29:31">
      <c r="AC35" s="44"/>
      <c r="AE35" s="42"/>
    </row>
    <row r="36" spans="29:31">
      <c r="AC36" s="44"/>
      <c r="AD36" s="46"/>
    </row>
    <row r="37" spans="29:31" ht="14.95" customHeight="1">
      <c r="AC37" s="44"/>
      <c r="AD37" s="46"/>
    </row>
    <row r="38" spans="29:31">
      <c r="AC38" s="44"/>
      <c r="AD38" s="46"/>
    </row>
    <row r="39" spans="29:31">
      <c r="AC39" s="44"/>
      <c r="AD39" s="46"/>
    </row>
    <row r="40" spans="29:31">
      <c r="AC40" s="44"/>
      <c r="AD40" s="46"/>
    </row>
    <row r="41" spans="29:31">
      <c r="AC41" s="44"/>
      <c r="AD41" s="46"/>
    </row>
    <row r="42" spans="29:31">
      <c r="AC42" s="44"/>
      <c r="AD42" s="46"/>
    </row>
    <row r="43" spans="29:31" s="17" customFormat="1">
      <c r="AC43" s="44"/>
      <c r="AD43" s="44"/>
    </row>
    <row r="44" spans="29:31" s="17" customFormat="1" ht="14.95" customHeight="1">
      <c r="AC44" s="44"/>
      <c r="AD44" s="44"/>
    </row>
    <row r="45" spans="29:31" s="17" customFormat="1">
      <c r="AC45" s="44"/>
      <c r="AD45" s="44"/>
    </row>
    <row r="46" spans="29:31" s="17" customFormat="1">
      <c r="AC46" s="44"/>
      <c r="AD46" s="44"/>
    </row>
    <row r="47" spans="29:31" s="17" customFormat="1">
      <c r="AC47" s="44"/>
      <c r="AD47" s="44"/>
    </row>
    <row r="48" spans="29:31" s="17" customFormat="1">
      <c r="AC48" s="44"/>
      <c r="AD48" s="44"/>
    </row>
    <row r="49" spans="29:30" s="17" customFormat="1">
      <c r="AC49" s="44"/>
      <c r="AD49" s="44"/>
    </row>
    <row r="50" spans="29:30" s="17" customFormat="1">
      <c r="AC50" s="44"/>
      <c r="AD50" s="44"/>
    </row>
    <row r="51" spans="29:30">
      <c r="AC51" s="44"/>
      <c r="AD51" s="46"/>
    </row>
    <row r="52" spans="29:30">
      <c r="AC52" s="44"/>
      <c r="AD52" s="46"/>
    </row>
    <row r="53" spans="29:30">
      <c r="AC53" s="44"/>
      <c r="AD53" s="46"/>
    </row>
    <row r="54" spans="29:30">
      <c r="AC54" s="44"/>
      <c r="AD54" s="46"/>
    </row>
    <row r="55" spans="29:30">
      <c r="AC55" s="44"/>
      <c r="AD55" s="46"/>
    </row>
    <row r="56" spans="29:30">
      <c r="AC56" s="44"/>
      <c r="AD56" s="46"/>
    </row>
    <row r="57" spans="29:30" s="42" customFormat="1">
      <c r="AC57" s="41"/>
    </row>
    <row r="58" spans="29:30" s="42" customFormat="1">
      <c r="AC58" s="41"/>
    </row>
    <row r="59" spans="29:30" s="42" customFormat="1">
      <c r="AC59" s="41"/>
    </row>
    <row r="60" spans="29:30" s="42" customFormat="1">
      <c r="AC60" s="41"/>
    </row>
    <row r="61" spans="29:30" s="42" customFormat="1">
      <c r="AC61" s="41"/>
    </row>
    <row r="62" spans="29:30" s="42" customFormat="1">
      <c r="AC62" s="41"/>
    </row>
    <row r="63" spans="29:30" s="42" customFormat="1">
      <c r="AC63" s="41"/>
    </row>
    <row r="64" spans="29:30">
      <c r="AC64" s="41"/>
    </row>
    <row r="65" spans="1:43">
      <c r="E65" s="43"/>
      <c r="F65" s="43"/>
      <c r="M65" s="92"/>
      <c r="AC65" s="41"/>
    </row>
    <row r="66" spans="1:43">
      <c r="E66" s="94"/>
      <c r="F66" s="203"/>
      <c r="J66" s="210"/>
      <c r="L66" s="94"/>
      <c r="M66" s="204"/>
      <c r="AC66" s="41"/>
    </row>
    <row r="67" spans="1:43">
      <c r="E67" s="94"/>
      <c r="F67" s="203"/>
      <c r="L67" s="94"/>
      <c r="M67" s="204"/>
      <c r="AC67" s="41"/>
    </row>
    <row r="68" spans="1:43">
      <c r="E68" s="94"/>
      <c r="F68" s="203"/>
      <c r="L68" s="94"/>
      <c r="M68" s="204"/>
      <c r="AC68" s="41"/>
    </row>
    <row r="69" spans="1:43" ht="14.95" thickBot="1">
      <c r="E69" s="94"/>
      <c r="F69" s="203"/>
      <c r="L69" s="94"/>
      <c r="M69" s="204"/>
      <c r="AC69" s="41"/>
    </row>
    <row r="70" spans="1:43" ht="24.45" thickBot="1">
      <c r="A70" s="709" t="s">
        <v>184</v>
      </c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710"/>
      <c r="V70" s="710"/>
      <c r="W70" s="710"/>
      <c r="X70" s="710"/>
      <c r="Y70" s="710"/>
      <c r="Z70" s="710"/>
      <c r="AA70" s="710"/>
      <c r="AB70" s="710"/>
      <c r="AC70" s="686" t="s">
        <v>196</v>
      </c>
      <c r="AD70" s="322"/>
      <c r="AE70" s="322" t="s">
        <v>197</v>
      </c>
      <c r="AF70" s="322" t="s">
        <v>62</v>
      </c>
      <c r="AG70" s="322" t="s">
        <v>63</v>
      </c>
      <c r="AH70" s="322" t="s">
        <v>64</v>
      </c>
      <c r="AI70" s="322" t="s">
        <v>65</v>
      </c>
      <c r="AJ70" s="322" t="s">
        <v>66</v>
      </c>
      <c r="AK70" s="322" t="s">
        <v>95</v>
      </c>
      <c r="AL70" s="322" t="s">
        <v>102</v>
      </c>
      <c r="AM70" s="322" t="s">
        <v>103</v>
      </c>
      <c r="AN70" s="322" t="s">
        <v>104</v>
      </c>
      <c r="AO70" s="322" t="s">
        <v>105</v>
      </c>
      <c r="AP70" s="322" t="s">
        <v>106</v>
      </c>
      <c r="AQ70" s="323" t="s">
        <v>37</v>
      </c>
    </row>
    <row r="71" spans="1:43">
      <c r="A71" s="216" t="s">
        <v>53</v>
      </c>
      <c r="B71" s="303" t="s">
        <v>77</v>
      </c>
      <c r="C71" s="684" t="s">
        <v>30</v>
      </c>
      <c r="D71" s="684"/>
      <c r="E71" s="684" t="s">
        <v>31</v>
      </c>
      <c r="F71" s="684"/>
      <c r="G71" s="684" t="s">
        <v>2</v>
      </c>
      <c r="H71" s="684"/>
      <c r="I71" s="684" t="s">
        <v>32</v>
      </c>
      <c r="J71" s="684"/>
      <c r="K71" s="684" t="s">
        <v>33</v>
      </c>
      <c r="L71" s="684"/>
      <c r="M71" s="684" t="s">
        <v>54</v>
      </c>
      <c r="N71" s="684"/>
      <c r="O71" s="684" t="s">
        <v>55</v>
      </c>
      <c r="P71" s="684"/>
      <c r="Q71" s="684" t="s">
        <v>56</v>
      </c>
      <c r="R71" s="684"/>
      <c r="S71" s="684" t="s">
        <v>57</v>
      </c>
      <c r="T71" s="684"/>
      <c r="U71" s="684" t="s">
        <v>58</v>
      </c>
      <c r="V71" s="684"/>
      <c r="W71" s="684" t="s">
        <v>59</v>
      </c>
      <c r="X71" s="684"/>
      <c r="Y71" s="684" t="s">
        <v>60</v>
      </c>
      <c r="Z71" s="684"/>
      <c r="AA71" s="303" t="s">
        <v>16</v>
      </c>
      <c r="AB71" s="332" t="s">
        <v>17</v>
      </c>
      <c r="AC71" s="687"/>
      <c r="AD71" s="324" t="s">
        <v>49</v>
      </c>
      <c r="AE71" s="325">
        <f>SUM(C72,C78,C84)</f>
        <v>769</v>
      </c>
      <c r="AF71" s="324">
        <f>SUM(E72,E78,E84)</f>
        <v>614</v>
      </c>
      <c r="AG71" s="326">
        <f>SUM(G72,G78,G84)</f>
        <v>528</v>
      </c>
      <c r="AH71" s="326">
        <f>SUM(I72,I78,I84)</f>
        <v>448</v>
      </c>
      <c r="AI71" s="326">
        <f>SUM(K72,K78,K84)</f>
        <v>377</v>
      </c>
      <c r="AJ71" s="327">
        <f>SUM(M72,M78,M84)</f>
        <v>0</v>
      </c>
      <c r="AK71" s="327">
        <f>SUM(O72,O78,O84)</f>
        <v>0</v>
      </c>
      <c r="AL71" s="327">
        <f>SUM(Q72,Q78,Q84)</f>
        <v>0</v>
      </c>
      <c r="AM71" s="327">
        <f>SUM(S72,S78,S84)</f>
        <v>0</v>
      </c>
      <c r="AN71" s="327">
        <f>SUM(U72,U78,U84)</f>
        <v>0</v>
      </c>
      <c r="AO71" s="327">
        <f>SUM(W72,W78,W84)</f>
        <v>0</v>
      </c>
      <c r="AP71" s="327">
        <f>SUM(Y72,Y78,Y84)</f>
        <v>0</v>
      </c>
      <c r="AQ71" s="328">
        <f>SUM(AE71:AP71)</f>
        <v>2736</v>
      </c>
    </row>
    <row r="72" spans="1:43">
      <c r="A72" s="682" t="s">
        <v>87</v>
      </c>
      <c r="B72" s="306" t="s">
        <v>49</v>
      </c>
      <c r="C72" s="320">
        <v>286</v>
      </c>
      <c r="D72" s="211">
        <f>IFERROR(C72/$C$76,0)</f>
        <v>2.4342497233807131E-2</v>
      </c>
      <c r="E72" s="320">
        <v>225</v>
      </c>
      <c r="F72" s="211">
        <f>IFERROR(E72/$E$76,0)</f>
        <v>2.3015548281505729E-2</v>
      </c>
      <c r="G72" s="320">
        <v>197</v>
      </c>
      <c r="H72" s="211">
        <f>IFERROR(G72/$G$76,0)</f>
        <v>1.5042761148442272E-2</v>
      </c>
      <c r="I72" s="320">
        <v>165</v>
      </c>
      <c r="J72" s="211">
        <f>IFERROR(I72/$I$76,0)</f>
        <v>1.39099645928174E-2</v>
      </c>
      <c r="K72" s="320">
        <v>149</v>
      </c>
      <c r="L72" s="212">
        <f>IFERROR(K72/$K$76,0)</f>
        <v>1.1482737361282367E-2</v>
      </c>
      <c r="M72" s="320">
        <v>0</v>
      </c>
      <c r="N72" s="211">
        <f>IFERROR(M72/$M$76,0)</f>
        <v>0</v>
      </c>
      <c r="O72" s="320">
        <v>0</v>
      </c>
      <c r="P72" s="211">
        <f>IFERROR(O72/$O$76,0)</f>
        <v>0</v>
      </c>
      <c r="Q72" s="320">
        <v>0</v>
      </c>
      <c r="R72" s="211">
        <f>IFERROR(Q72/$Q$76,0)</f>
        <v>0</v>
      </c>
      <c r="S72" s="320">
        <v>0</v>
      </c>
      <c r="T72" s="211">
        <f>IFERROR(S72/$S$76,0)</f>
        <v>0</v>
      </c>
      <c r="U72" s="320">
        <v>0</v>
      </c>
      <c r="V72" s="211">
        <f>IFERROR(U72/$U$76,0)</f>
        <v>0</v>
      </c>
      <c r="W72" s="320">
        <v>0</v>
      </c>
      <c r="X72" s="211">
        <f>IFERROR(W72/$W$76,0)</f>
        <v>0</v>
      </c>
      <c r="Y72" s="320">
        <v>0</v>
      </c>
      <c r="Z72" s="211">
        <f>IFERROR(Y72/$Y$76,0)</f>
        <v>0</v>
      </c>
      <c r="AA72" s="213">
        <f>SUM(C72,E72,G72,I72,K72,M72,O72,Q72,S72,U72,W72,Y72)</f>
        <v>1022</v>
      </c>
      <c r="AB72" s="333">
        <f>IFERROR(AVERAGE(C72,E72,G72,I72,K72,M72,O72,Q72,S72,U72,W72,Y72),"-")</f>
        <v>85.166666666666671</v>
      </c>
      <c r="AC72" s="687"/>
      <c r="AD72" s="324" t="s">
        <v>49</v>
      </c>
      <c r="AE72" s="329">
        <f>AE71/AE79</f>
        <v>4.838303762426073E-2</v>
      </c>
      <c r="AF72" s="329">
        <f t="shared" ref="AF72:AP72" si="0">AF71/AF79</f>
        <v>4.5094007050528788E-2</v>
      </c>
      <c r="AG72" s="329">
        <f t="shared" si="0"/>
        <v>3.076206012584479E-2</v>
      </c>
      <c r="AH72" s="329">
        <f t="shared" si="0"/>
        <v>2.8879004705730679E-2</v>
      </c>
      <c r="AI72" s="329">
        <f t="shared" si="0"/>
        <v>2.311465358675659E-2</v>
      </c>
      <c r="AJ72" s="329" t="e">
        <f t="shared" si="0"/>
        <v>#DIV/0!</v>
      </c>
      <c r="AK72" s="329" t="e">
        <f t="shared" si="0"/>
        <v>#DIV/0!</v>
      </c>
      <c r="AL72" s="329" t="e">
        <f t="shared" si="0"/>
        <v>#DIV/0!</v>
      </c>
      <c r="AM72" s="329" t="e">
        <f t="shared" si="0"/>
        <v>#DIV/0!</v>
      </c>
      <c r="AN72" s="329" t="e">
        <f t="shared" si="0"/>
        <v>#DIV/0!</v>
      </c>
      <c r="AO72" s="329" t="e">
        <f t="shared" si="0"/>
        <v>#DIV/0!</v>
      </c>
      <c r="AP72" s="329" t="e">
        <f t="shared" si="0"/>
        <v>#DIV/0!</v>
      </c>
      <c r="AQ72" s="330">
        <v>1</v>
      </c>
    </row>
    <row r="73" spans="1:43">
      <c r="A73" s="682"/>
      <c r="B73" s="306" t="s">
        <v>50</v>
      </c>
      <c r="C73" s="320">
        <v>2056</v>
      </c>
      <c r="D73" s="211">
        <f>IFERROR(C73/$C$76,0)</f>
        <v>0.17499361647799813</v>
      </c>
      <c r="E73" s="320">
        <v>1164</v>
      </c>
      <c r="F73" s="211">
        <f>IFERROR(E73/$E$76,0)</f>
        <v>0.11906710310965631</v>
      </c>
      <c r="G73" s="320">
        <v>1029</v>
      </c>
      <c r="H73" s="211">
        <f>IFERROR(G73/$G$76,0)</f>
        <v>7.8573610262675619E-2</v>
      </c>
      <c r="I73" s="320">
        <v>1131</v>
      </c>
      <c r="J73" s="211">
        <f>IFERROR(I73/$I$76,0)</f>
        <v>9.5346484572584725E-2</v>
      </c>
      <c r="K73" s="320">
        <v>941</v>
      </c>
      <c r="L73" s="212">
        <f>IFERROR(K73/$K$76,0)</f>
        <v>7.2518495684340323E-2</v>
      </c>
      <c r="M73" s="320">
        <v>0</v>
      </c>
      <c r="N73" s="211">
        <f>IFERROR(M73/$M$76,0)</f>
        <v>0</v>
      </c>
      <c r="O73" s="320">
        <v>0</v>
      </c>
      <c r="P73" s="211">
        <f>IFERROR(O73/$O$76,0)</f>
        <v>0</v>
      </c>
      <c r="Q73" s="320">
        <v>0</v>
      </c>
      <c r="R73" s="211">
        <f>IFERROR(Q73/$Q$76,0)</f>
        <v>0</v>
      </c>
      <c r="S73" s="320">
        <v>0</v>
      </c>
      <c r="T73" s="211">
        <f>IFERROR(S73/$S$76,0)</f>
        <v>0</v>
      </c>
      <c r="U73" s="320">
        <v>0</v>
      </c>
      <c r="V73" s="211">
        <f>IFERROR(U73/$U$76,0)</f>
        <v>0</v>
      </c>
      <c r="W73" s="320">
        <v>0</v>
      </c>
      <c r="X73" s="211">
        <f>IFERROR(W73/$W$76,0)</f>
        <v>0</v>
      </c>
      <c r="Y73" s="320">
        <v>0</v>
      </c>
      <c r="Z73" s="211">
        <f>IFERROR(Y73/$Y$76,0)</f>
        <v>0</v>
      </c>
      <c r="AA73" s="213">
        <f>SUM(C73,E73,G73,I73,K73,M73,O73,Q73,S73,U73,W73,Y73)</f>
        <v>6321</v>
      </c>
      <c r="AB73" s="333">
        <f>IFERROR(AVERAGE(C73,E73,G73,I73,K73,M73,O73,Q73,S73,U73,W73,Y73),"-")</f>
        <v>526.75</v>
      </c>
      <c r="AC73" s="687"/>
      <c r="AD73" s="324" t="s">
        <v>50</v>
      </c>
      <c r="AE73" s="326">
        <f>SUM(C73,C79,C85)</f>
        <v>2645</v>
      </c>
      <c r="AF73" s="324">
        <f>SUM(E73,E79,E85)</f>
        <v>1607</v>
      </c>
      <c r="AG73" s="326">
        <f>SUM(G73,G79,G85)</f>
        <v>1408</v>
      </c>
      <c r="AH73" s="326">
        <f>SUM(I73,I79,I85)</f>
        <v>1479</v>
      </c>
      <c r="AI73" s="326">
        <f>SUM(K73,K79,K85)</f>
        <v>1194</v>
      </c>
      <c r="AJ73" s="327">
        <f>SUM(M73,M79,M85)</f>
        <v>0</v>
      </c>
      <c r="AK73" s="327">
        <f>SUM(O73,O79,O85)</f>
        <v>0</v>
      </c>
      <c r="AL73" s="327">
        <f>SUM(Q73,Q79,Q85)</f>
        <v>0</v>
      </c>
      <c r="AM73" s="327">
        <f>SUM(S73,S79,S85)</f>
        <v>0</v>
      </c>
      <c r="AN73" s="327">
        <f>SUM(U73,U79,U85)</f>
        <v>0</v>
      </c>
      <c r="AO73" s="327">
        <f>SUM(W73,W79,W85)</f>
        <v>0</v>
      </c>
      <c r="AP73" s="327">
        <f>SUM(Y73,Y79,Y85)</f>
        <v>0</v>
      </c>
      <c r="AQ73" s="328">
        <f>SUM(AE73:AP73)</f>
        <v>8333</v>
      </c>
    </row>
    <row r="74" spans="1:43">
      <c r="A74" s="682"/>
      <c r="B74" s="306" t="s">
        <v>51</v>
      </c>
      <c r="C74" s="320">
        <v>5949</v>
      </c>
      <c r="D74" s="211">
        <f>IFERROR(C74/$C$76,0)</f>
        <v>0.50634096518852667</v>
      </c>
      <c r="E74" s="320">
        <v>6548</v>
      </c>
      <c r="F74" s="211">
        <f>IFERROR(E74/$E$76,0)</f>
        <v>0.66980360065466449</v>
      </c>
      <c r="G74" s="320">
        <v>10228</v>
      </c>
      <c r="H74" s="211">
        <f>IFERROR(G74/$G$76,0)</f>
        <v>0.78100183262064748</v>
      </c>
      <c r="I74" s="320">
        <v>8593</v>
      </c>
      <c r="J74" s="211">
        <f>IFERROR(I74/$I$76,0)</f>
        <v>0.72441409543078739</v>
      </c>
      <c r="K74" s="320">
        <v>10137</v>
      </c>
      <c r="L74" s="212">
        <f>IFERROR(K74/$K$76,0)</f>
        <v>0.78121146732429103</v>
      </c>
      <c r="M74" s="320">
        <v>0</v>
      </c>
      <c r="N74" s="211">
        <f>IFERROR(M74/$M$76,0)</f>
        <v>0</v>
      </c>
      <c r="O74" s="320">
        <v>0</v>
      </c>
      <c r="P74" s="211">
        <f>IFERROR(O74/$O$76,0)</f>
        <v>0</v>
      </c>
      <c r="Q74" s="320">
        <v>0</v>
      </c>
      <c r="R74" s="211">
        <f>IFERROR(Q74/$Q$76,0)</f>
        <v>0</v>
      </c>
      <c r="S74" s="320">
        <v>0</v>
      </c>
      <c r="T74" s="211">
        <f>IFERROR(S74/$S$76,0)</f>
        <v>0</v>
      </c>
      <c r="U74" s="320">
        <v>0</v>
      </c>
      <c r="V74" s="211">
        <f>IFERROR(U74/$U$76,0)</f>
        <v>0</v>
      </c>
      <c r="W74" s="320">
        <v>0</v>
      </c>
      <c r="X74" s="211">
        <f>IFERROR(W74/$W$76,0)</f>
        <v>0</v>
      </c>
      <c r="Y74" s="320">
        <v>0</v>
      </c>
      <c r="Z74" s="211">
        <f>IFERROR(Y74/$Y$76,0)</f>
        <v>0</v>
      </c>
      <c r="AA74" s="213">
        <f>SUM(C74,E74,G74,I74,K74,M74,O74,Q74,S74,U74,W74,Y74)</f>
        <v>41455</v>
      </c>
      <c r="AB74" s="333">
        <f>IFERROR(AVERAGE(C74,E74,G74,I74,K74,M74,O74,Q74,S74,U74,W74,Y74),"-")</f>
        <v>3454.5833333333335</v>
      </c>
      <c r="AC74" s="687"/>
      <c r="AD74" s="324" t="s">
        <v>50</v>
      </c>
      <c r="AE74" s="331">
        <f>AE73/AE79</f>
        <v>0.16641499937083176</v>
      </c>
      <c r="AF74" s="331">
        <f t="shared" ref="AF74:AP74" si="1">AF73/AF79</f>
        <v>0.11802291421856639</v>
      </c>
      <c r="AG74" s="331">
        <f t="shared" si="1"/>
        <v>8.2032160335586107E-2</v>
      </c>
      <c r="AH74" s="331">
        <f t="shared" si="1"/>
        <v>9.533939276735641E-2</v>
      </c>
      <c r="AI74" s="331">
        <f t="shared" si="1"/>
        <v>7.3206621704475783E-2</v>
      </c>
      <c r="AJ74" s="331" t="e">
        <f t="shared" si="1"/>
        <v>#DIV/0!</v>
      </c>
      <c r="AK74" s="331" t="e">
        <f t="shared" si="1"/>
        <v>#DIV/0!</v>
      </c>
      <c r="AL74" s="331" t="e">
        <f t="shared" si="1"/>
        <v>#DIV/0!</v>
      </c>
      <c r="AM74" s="331" t="e">
        <f t="shared" si="1"/>
        <v>#DIV/0!</v>
      </c>
      <c r="AN74" s="331" t="e">
        <f t="shared" si="1"/>
        <v>#DIV/0!</v>
      </c>
      <c r="AO74" s="331" t="e">
        <f t="shared" si="1"/>
        <v>#DIV/0!</v>
      </c>
      <c r="AP74" s="331" t="e">
        <f t="shared" si="1"/>
        <v>#DIV/0!</v>
      </c>
      <c r="AQ74" s="330">
        <v>1</v>
      </c>
    </row>
    <row r="75" spans="1:43">
      <c r="A75" s="682"/>
      <c r="B75" s="306" t="s">
        <v>52</v>
      </c>
      <c r="C75" s="320">
        <v>3458</v>
      </c>
      <c r="D75" s="211">
        <f>IFERROR(C75/$C$76,0)</f>
        <v>0.29432292109966807</v>
      </c>
      <c r="E75" s="320">
        <v>1839</v>
      </c>
      <c r="F75" s="211">
        <f>IFERROR(E75/$E$76,0)</f>
        <v>0.18811374795417349</v>
      </c>
      <c r="G75" s="320">
        <v>1642</v>
      </c>
      <c r="H75" s="211">
        <f>IFERROR(G75/$G$76,0)</f>
        <v>0.12538179596823457</v>
      </c>
      <c r="I75" s="320">
        <v>1973</v>
      </c>
      <c r="J75" s="211">
        <f>IFERROR(I75/$I$76,0)</f>
        <v>0.1663294554038105</v>
      </c>
      <c r="K75" s="320">
        <v>1749</v>
      </c>
      <c r="L75" s="212">
        <f>IFERROR(K75/$K$76,0)</f>
        <v>0.13478729963008632</v>
      </c>
      <c r="M75" s="320">
        <v>0</v>
      </c>
      <c r="N75" s="211">
        <f>IFERROR(M75/$M$76,0)</f>
        <v>0</v>
      </c>
      <c r="O75" s="320">
        <v>0</v>
      </c>
      <c r="P75" s="211">
        <f>IFERROR(O75/$O$76,0)</f>
        <v>0</v>
      </c>
      <c r="Q75" s="320">
        <v>0</v>
      </c>
      <c r="R75" s="211">
        <f>IFERROR(Q75/$Q$76,0)</f>
        <v>0</v>
      </c>
      <c r="S75" s="320">
        <v>0</v>
      </c>
      <c r="T75" s="211">
        <f>IFERROR(S75/$S$76,0)</f>
        <v>0</v>
      </c>
      <c r="U75" s="320">
        <v>0</v>
      </c>
      <c r="V75" s="211">
        <f>IFERROR(U75/$U$76,0)</f>
        <v>0</v>
      </c>
      <c r="W75" s="320">
        <v>0</v>
      </c>
      <c r="X75" s="211">
        <f>IFERROR(W75/$W$76,0)</f>
        <v>0</v>
      </c>
      <c r="Y75" s="320">
        <v>0</v>
      </c>
      <c r="Z75" s="211">
        <f>IFERROR(Y75/$Y$76,0)</f>
        <v>0</v>
      </c>
      <c r="AA75" s="213">
        <f>SUM(C75,E75,G75,I75,K75,M75,O75,Q75,S75,U75,W75,Y75)</f>
        <v>10661</v>
      </c>
      <c r="AB75" s="333">
        <f>IFERROR(AVERAGE(C75,E75,G75,I75,K75,M75,O75,Q75,S75,U75,W75,Y75),"-")</f>
        <v>888.41666666666663</v>
      </c>
      <c r="AC75" s="687"/>
      <c r="AD75" s="324" t="s">
        <v>51</v>
      </c>
      <c r="AE75" s="326">
        <f>SUM(C74,C80,C86)</f>
        <v>7607</v>
      </c>
      <c r="AF75" s="324">
        <f>SUM(E74,E80,E86)</f>
        <v>8388</v>
      </c>
      <c r="AG75" s="326">
        <f>SUM(G74,G80,G86)</f>
        <v>12716</v>
      </c>
      <c r="AH75" s="326">
        <f>SUM(I74,I80,I86)</f>
        <v>10737</v>
      </c>
      <c r="AI75" s="326">
        <f>SUM(K74,K80,K86)</f>
        <v>12282</v>
      </c>
      <c r="AJ75" s="327">
        <f>SUM(M74,M80,M86)</f>
        <v>0</v>
      </c>
      <c r="AK75" s="327">
        <f>SUM(O74,O80,O86)</f>
        <v>0</v>
      </c>
      <c r="AL75" s="327">
        <f>SUM(Q74,Q80,Q86)</f>
        <v>0</v>
      </c>
      <c r="AM75" s="327">
        <f>SUM(S74,S80,S86)</f>
        <v>0</v>
      </c>
      <c r="AN75" s="327">
        <f>SUM(U74,U80,U86)</f>
        <v>0</v>
      </c>
      <c r="AO75" s="327">
        <f>SUM(W74,W80,W86)</f>
        <v>0</v>
      </c>
      <c r="AP75" s="327">
        <f>SUM(Y74,Y80,Y86)</f>
        <v>0</v>
      </c>
      <c r="AQ75" s="328">
        <f>SUM(AE75:AP75)</f>
        <v>51730</v>
      </c>
    </row>
    <row r="76" spans="1:43">
      <c r="A76" s="682"/>
      <c r="B76" s="304" t="s">
        <v>37</v>
      </c>
      <c r="C76" s="213">
        <f>SUM(C72:C75)</f>
        <v>11749</v>
      </c>
      <c r="D76" s="211">
        <f>IFERROR(C76/$C$76,0)</f>
        <v>1</v>
      </c>
      <c r="E76" s="213">
        <f t="shared" ref="E76:AA76" si="2">SUM(E72:E75)</f>
        <v>9776</v>
      </c>
      <c r="F76" s="211">
        <f>IFERROR(E76/$E$76,0)</f>
        <v>1</v>
      </c>
      <c r="G76" s="213">
        <f t="shared" si="2"/>
        <v>13096</v>
      </c>
      <c r="H76" s="211">
        <f>IFERROR(G76/$G$76,0)</f>
        <v>1</v>
      </c>
      <c r="I76" s="213">
        <f t="shared" si="2"/>
        <v>11862</v>
      </c>
      <c r="J76" s="211">
        <f>IFERROR(I76/$I$76,0)</f>
        <v>1</v>
      </c>
      <c r="K76" s="213">
        <f>SUM(K72:K75)</f>
        <v>12976</v>
      </c>
      <c r="L76" s="212">
        <f>IFERROR(K76/$K$76,0)</f>
        <v>1</v>
      </c>
      <c r="M76" s="213">
        <f t="shared" si="2"/>
        <v>0</v>
      </c>
      <c r="N76" s="211">
        <f>IFERROR(M76/$M$76,0)</f>
        <v>0</v>
      </c>
      <c r="O76" s="213">
        <f>SUM(O72:O75)</f>
        <v>0</v>
      </c>
      <c r="P76" s="211">
        <f>IFERROR(O76/$O$76,0)</f>
        <v>0</v>
      </c>
      <c r="Q76" s="213">
        <f t="shared" si="2"/>
        <v>0</v>
      </c>
      <c r="R76" s="211">
        <f>IFERROR(Q76/$Q$76,0)</f>
        <v>0</v>
      </c>
      <c r="S76" s="213">
        <f t="shared" si="2"/>
        <v>0</v>
      </c>
      <c r="T76" s="211">
        <f>IFERROR(S76/$S$76,0)</f>
        <v>0</v>
      </c>
      <c r="U76" s="213">
        <f t="shared" si="2"/>
        <v>0</v>
      </c>
      <c r="V76" s="214">
        <f t="shared" si="2"/>
        <v>0</v>
      </c>
      <c r="W76" s="213">
        <f t="shared" si="2"/>
        <v>0</v>
      </c>
      <c r="X76" s="214">
        <f t="shared" si="2"/>
        <v>0</v>
      </c>
      <c r="Y76" s="213">
        <f>SUM(Y72:Y75)</f>
        <v>0</v>
      </c>
      <c r="Z76" s="214">
        <f t="shared" si="2"/>
        <v>0</v>
      </c>
      <c r="AA76" s="213">
        <f t="shared" si="2"/>
        <v>59459</v>
      </c>
      <c r="AB76" s="333">
        <f>IFERROR(AVERAGE(C76,E76,G76,I76,K76,M76,O76,Q76,S76,U76,W76,Y76),"-")</f>
        <v>4954.916666666667</v>
      </c>
      <c r="AC76" s="687"/>
      <c r="AD76" s="324" t="s">
        <v>51</v>
      </c>
      <c r="AE76" s="331">
        <f>AE75/AE79</f>
        <v>0.47860827985403298</v>
      </c>
      <c r="AF76" s="331">
        <f t="shared" ref="AF76:AP76" si="3">AF75/AF79</f>
        <v>0.61603995299647474</v>
      </c>
      <c r="AG76" s="331">
        <f t="shared" si="3"/>
        <v>0.74085294803076207</v>
      </c>
      <c r="AH76" s="331">
        <f t="shared" si="3"/>
        <v>0.69212918197640694</v>
      </c>
      <c r="AI76" s="331">
        <f t="shared" si="3"/>
        <v>0.75303494788473324</v>
      </c>
      <c r="AJ76" s="331" t="e">
        <f t="shared" si="3"/>
        <v>#DIV/0!</v>
      </c>
      <c r="AK76" s="331" t="e">
        <f t="shared" si="3"/>
        <v>#DIV/0!</v>
      </c>
      <c r="AL76" s="331" t="e">
        <f t="shared" si="3"/>
        <v>#DIV/0!</v>
      </c>
      <c r="AM76" s="331" t="e">
        <f t="shared" si="3"/>
        <v>#DIV/0!</v>
      </c>
      <c r="AN76" s="331" t="e">
        <f t="shared" si="3"/>
        <v>#DIV/0!</v>
      </c>
      <c r="AO76" s="331" t="e">
        <f t="shared" si="3"/>
        <v>#DIV/0!</v>
      </c>
      <c r="AP76" s="331" t="e">
        <f t="shared" si="3"/>
        <v>#DIV/0!</v>
      </c>
      <c r="AQ76" s="330">
        <v>1</v>
      </c>
    </row>
    <row r="77" spans="1:43">
      <c r="A77" s="219"/>
      <c r="B77" s="304" t="s">
        <v>77</v>
      </c>
      <c r="C77" s="685" t="s">
        <v>30</v>
      </c>
      <c r="D77" s="685"/>
      <c r="E77" s="685" t="s">
        <v>31</v>
      </c>
      <c r="F77" s="685"/>
      <c r="G77" s="685" t="s">
        <v>2</v>
      </c>
      <c r="H77" s="685"/>
      <c r="I77" s="685" t="s">
        <v>32</v>
      </c>
      <c r="J77" s="685"/>
      <c r="K77" s="685" t="s">
        <v>33</v>
      </c>
      <c r="L77" s="685"/>
      <c r="M77" s="685" t="s">
        <v>54</v>
      </c>
      <c r="N77" s="685"/>
      <c r="O77" s="685" t="s">
        <v>55</v>
      </c>
      <c r="P77" s="685"/>
      <c r="Q77" s="685" t="s">
        <v>56</v>
      </c>
      <c r="R77" s="685"/>
      <c r="S77" s="685" t="s">
        <v>57</v>
      </c>
      <c r="T77" s="685"/>
      <c r="U77" s="685" t="s">
        <v>58</v>
      </c>
      <c r="V77" s="685"/>
      <c r="W77" s="685" t="s">
        <v>59</v>
      </c>
      <c r="X77" s="685"/>
      <c r="Y77" s="685" t="s">
        <v>60</v>
      </c>
      <c r="Z77" s="685"/>
      <c r="AA77" s="304" t="s">
        <v>16</v>
      </c>
      <c r="AB77" s="334" t="s">
        <v>17</v>
      </c>
      <c r="AC77" s="687"/>
      <c r="AD77" s="324" t="s">
        <v>52</v>
      </c>
      <c r="AE77" s="326">
        <f>SUM(C87,C81,C75)</f>
        <v>4873</v>
      </c>
      <c r="AF77" s="324">
        <f>SUM(E75,E81,E87)</f>
        <v>3007</v>
      </c>
      <c r="AG77" s="326">
        <f>SUM(G75,G81,G87)</f>
        <v>2512</v>
      </c>
      <c r="AH77" s="326">
        <f>SUM(I75,I81,I87)</f>
        <v>2849</v>
      </c>
      <c r="AI77" s="326">
        <f>SUM(K75,K81,K87)</f>
        <v>2457</v>
      </c>
      <c r="AJ77" s="327">
        <f>SUM(M75,M81,M87)</f>
        <v>0</v>
      </c>
      <c r="AK77" s="327">
        <f>SUM(O75,O81,O87)</f>
        <v>0</v>
      </c>
      <c r="AL77" s="327">
        <f>SUM(Q75,Q81,Q87)</f>
        <v>0</v>
      </c>
      <c r="AM77" s="327">
        <f>SUM(S75,S81,S87)</f>
        <v>0</v>
      </c>
      <c r="AN77" s="327">
        <f>SUM(U75,U81,U87)</f>
        <v>0</v>
      </c>
      <c r="AO77" s="327">
        <f>SUM(W75,W81,W87)</f>
        <v>0</v>
      </c>
      <c r="AP77" s="327">
        <f>SUM(Y75,Y81,Y87)</f>
        <v>0</v>
      </c>
      <c r="AQ77" s="328">
        <f>SUM(AE77:AP77)</f>
        <v>15698</v>
      </c>
    </row>
    <row r="78" spans="1:43">
      <c r="A78" s="682" t="s">
        <v>88</v>
      </c>
      <c r="B78" s="306" t="s">
        <v>49</v>
      </c>
      <c r="C78" s="320">
        <v>242</v>
      </c>
      <c r="D78" s="211">
        <f>IFERROR(C78/$C$82,0)</f>
        <v>9.5803642121931903E-2</v>
      </c>
      <c r="E78" s="320">
        <v>195</v>
      </c>
      <c r="F78" s="211">
        <f>IFERROR(E78/$E$82,0)</f>
        <v>7.7319587628865982E-2</v>
      </c>
      <c r="G78" s="320">
        <v>165</v>
      </c>
      <c r="H78" s="211">
        <f>IFERROR(G78/$G$82,0)</f>
        <v>6.2642369020501146E-2</v>
      </c>
      <c r="I78" s="320">
        <v>141</v>
      </c>
      <c r="J78" s="211">
        <f>IFERROR(I78/$I$82,0)</f>
        <v>5.9293523969722456E-2</v>
      </c>
      <c r="K78" s="320">
        <v>114</v>
      </c>
      <c r="L78" s="212">
        <f>IFERROR(K78/$K$82,0)</f>
        <v>5.1560379918588875E-2</v>
      </c>
      <c r="M78" s="320">
        <v>0</v>
      </c>
      <c r="N78" s="211">
        <f>IFERROR(M78/$M$82,0)</f>
        <v>0</v>
      </c>
      <c r="O78" s="320">
        <v>0</v>
      </c>
      <c r="P78" s="211">
        <f>IFERROR(O78/$O$82,0)</f>
        <v>0</v>
      </c>
      <c r="Q78" s="320">
        <v>0</v>
      </c>
      <c r="R78" s="211">
        <f>IFERROR(Q78/$Q$82,0)</f>
        <v>0</v>
      </c>
      <c r="S78" s="320">
        <v>0</v>
      </c>
      <c r="T78" s="211">
        <f>IFERROR(S78/$S$82,0)</f>
        <v>0</v>
      </c>
      <c r="U78" s="320">
        <v>0</v>
      </c>
      <c r="V78" s="211">
        <f>IFERROR(U78/$U$82,0)</f>
        <v>0</v>
      </c>
      <c r="W78" s="320">
        <v>0</v>
      </c>
      <c r="X78" s="211">
        <f>IFERROR(W78/$W$82,0)</f>
        <v>0</v>
      </c>
      <c r="Y78" s="320">
        <v>0</v>
      </c>
      <c r="Z78" s="211">
        <f>IFERROR(Y78/$Y$82,0)</f>
        <v>0</v>
      </c>
      <c r="AA78" s="213">
        <f>SUM(C78,E78,G78,I78,K78,M78,O78,Q78,S78,U78,W78,Y78)</f>
        <v>857</v>
      </c>
      <c r="AB78" s="333">
        <f>IFERROR(AVERAGE(C78,E78,G78,I78,K78,M78,O78,Q78,S78,U78,W78,Y78),"-")</f>
        <v>71.416666666666671</v>
      </c>
      <c r="AC78" s="687"/>
      <c r="AD78" s="324" t="s">
        <v>52</v>
      </c>
      <c r="AE78" s="331">
        <f>AE77/AE79</f>
        <v>0.30659368315087454</v>
      </c>
      <c r="AF78" s="331">
        <f t="shared" ref="AF78:AP78" si="4">AF77/AF79</f>
        <v>0.22084312573443007</v>
      </c>
      <c r="AG78" s="331">
        <f t="shared" si="4"/>
        <v>0.14635283150780704</v>
      </c>
      <c r="AH78" s="331">
        <f t="shared" si="4"/>
        <v>0.18365242055050604</v>
      </c>
      <c r="AI78" s="331">
        <f t="shared" si="4"/>
        <v>0.15064377682403435</v>
      </c>
      <c r="AJ78" s="331" t="e">
        <f t="shared" si="4"/>
        <v>#DIV/0!</v>
      </c>
      <c r="AK78" s="331" t="e">
        <f t="shared" si="4"/>
        <v>#DIV/0!</v>
      </c>
      <c r="AL78" s="331" t="e">
        <f t="shared" si="4"/>
        <v>#DIV/0!</v>
      </c>
      <c r="AM78" s="331" t="e">
        <f t="shared" si="4"/>
        <v>#DIV/0!</v>
      </c>
      <c r="AN78" s="331" t="e">
        <f t="shared" si="4"/>
        <v>#DIV/0!</v>
      </c>
      <c r="AO78" s="331" t="e">
        <f t="shared" si="4"/>
        <v>#DIV/0!</v>
      </c>
      <c r="AP78" s="331" t="e">
        <f t="shared" si="4"/>
        <v>#DIV/0!</v>
      </c>
      <c r="AQ78" s="330">
        <v>1</v>
      </c>
    </row>
    <row r="79" spans="1:43">
      <c r="A79" s="682"/>
      <c r="B79" s="306" t="s">
        <v>50</v>
      </c>
      <c r="C79" s="320">
        <v>298</v>
      </c>
      <c r="D79" s="211">
        <f>IFERROR(C79/$C$82,0)</f>
        <v>0.11797307996832937</v>
      </c>
      <c r="E79" s="320">
        <v>230</v>
      </c>
      <c r="F79" s="211">
        <f>IFERROR(E79/$E$82,0)</f>
        <v>9.1197462331482945E-2</v>
      </c>
      <c r="G79" s="320">
        <v>195</v>
      </c>
      <c r="H79" s="211">
        <f>IFERROR(G79/$G$82,0)</f>
        <v>7.4031890660592251E-2</v>
      </c>
      <c r="I79" s="320">
        <v>184</v>
      </c>
      <c r="J79" s="211">
        <f>IFERROR(I79/$I$82,0)</f>
        <v>7.7375946173254842E-2</v>
      </c>
      <c r="K79" s="320">
        <v>127</v>
      </c>
      <c r="L79" s="212">
        <f>IFERROR(K79/$K$82,0)</f>
        <v>5.7440072365445502E-2</v>
      </c>
      <c r="M79" s="320">
        <v>0</v>
      </c>
      <c r="N79" s="211">
        <f>IFERROR(M79/$M$82,0)</f>
        <v>0</v>
      </c>
      <c r="O79" s="320">
        <v>0</v>
      </c>
      <c r="P79" s="211">
        <f>IFERROR(O79/$O$82,0)</f>
        <v>0</v>
      </c>
      <c r="Q79" s="320">
        <v>0</v>
      </c>
      <c r="R79" s="211">
        <f>IFERROR(Q79/$Q$82,0)</f>
        <v>0</v>
      </c>
      <c r="S79" s="320">
        <v>0</v>
      </c>
      <c r="T79" s="211">
        <f>IFERROR(S79/$S$82,0)</f>
        <v>0</v>
      </c>
      <c r="U79" s="320">
        <v>0</v>
      </c>
      <c r="V79" s="211">
        <f>IFERROR(U79/$U$82,0)</f>
        <v>0</v>
      </c>
      <c r="W79" s="320">
        <v>0</v>
      </c>
      <c r="X79" s="211">
        <f>IFERROR(W79/$W$82,0)</f>
        <v>0</v>
      </c>
      <c r="Y79" s="320">
        <v>0</v>
      </c>
      <c r="Z79" s="211">
        <f>IFERROR(Y79/$Y$82,0)</f>
        <v>0</v>
      </c>
      <c r="AA79" s="213">
        <f>SUM(C79,E79,G79,I79,K79,M79,O79,Q79,S79,U79,W79,Y79)</f>
        <v>1034</v>
      </c>
      <c r="AB79" s="333">
        <f>IFERROR(AVERAGE(C79,E79,G79,I79,K79,M79,O79,Q79,S79,U79,W79,Y79),"-")</f>
        <v>86.166666666666671</v>
      </c>
      <c r="AC79" s="687"/>
      <c r="AD79" s="338" t="s">
        <v>37</v>
      </c>
      <c r="AE79" s="339">
        <f>SUM(AE71,AE73,AE75,AE77)</f>
        <v>15894</v>
      </c>
      <c r="AF79" s="339">
        <f t="shared" ref="AF79:AP80" si="5">SUM(AF71,AF73,AF75,AF77)</f>
        <v>13616</v>
      </c>
      <c r="AG79" s="339">
        <f t="shared" si="5"/>
        <v>17164</v>
      </c>
      <c r="AH79" s="339">
        <f t="shared" si="5"/>
        <v>15513</v>
      </c>
      <c r="AI79" s="339">
        <f t="shared" si="5"/>
        <v>16310</v>
      </c>
      <c r="AJ79" s="339">
        <f t="shared" si="5"/>
        <v>0</v>
      </c>
      <c r="AK79" s="339">
        <f t="shared" si="5"/>
        <v>0</v>
      </c>
      <c r="AL79" s="339">
        <f t="shared" si="5"/>
        <v>0</v>
      </c>
      <c r="AM79" s="339">
        <f t="shared" si="5"/>
        <v>0</v>
      </c>
      <c r="AN79" s="339">
        <f t="shared" si="5"/>
        <v>0</v>
      </c>
      <c r="AO79" s="339">
        <f t="shared" si="5"/>
        <v>0</v>
      </c>
      <c r="AP79" s="339">
        <f t="shared" si="5"/>
        <v>0</v>
      </c>
      <c r="AQ79" s="339">
        <f>SUM(AE79:AP79)</f>
        <v>78497</v>
      </c>
    </row>
    <row r="80" spans="1:43">
      <c r="A80" s="682"/>
      <c r="B80" s="306" t="s">
        <v>51</v>
      </c>
      <c r="C80" s="320">
        <v>1023</v>
      </c>
      <c r="D80" s="211">
        <f>IFERROR(C80/$C$82,0)</f>
        <v>0.40498812351543945</v>
      </c>
      <c r="E80" s="320">
        <v>1293</v>
      </c>
      <c r="F80" s="211">
        <f>IFERROR(E80/$E$82,0)</f>
        <v>0.51268834258524976</v>
      </c>
      <c r="G80" s="320">
        <v>1705</v>
      </c>
      <c r="H80" s="211">
        <f>IFERROR(G80/$G$82,0)</f>
        <v>0.64730447987851181</v>
      </c>
      <c r="I80" s="320">
        <v>1471</v>
      </c>
      <c r="J80" s="211">
        <f>IFERROR(I80/$I$82,0)</f>
        <v>0.61858704793944486</v>
      </c>
      <c r="K80" s="320">
        <v>1518</v>
      </c>
      <c r="L80" s="212">
        <f>IFERROR(K80/$K$82,0)</f>
        <v>0.68656716417910446</v>
      </c>
      <c r="M80" s="320">
        <v>0</v>
      </c>
      <c r="N80" s="211">
        <f>IFERROR(M80/$M$82,0)</f>
        <v>0</v>
      </c>
      <c r="O80" s="320">
        <v>0</v>
      </c>
      <c r="P80" s="211">
        <f>IFERROR(O80/$O$82,0)</f>
        <v>0</v>
      </c>
      <c r="Q80" s="320">
        <v>0</v>
      </c>
      <c r="R80" s="211">
        <f>IFERROR(Q80/$Q$82,0)</f>
        <v>0</v>
      </c>
      <c r="S80" s="320">
        <v>0</v>
      </c>
      <c r="T80" s="211">
        <f>IFERROR(S80/$S$82,0)</f>
        <v>0</v>
      </c>
      <c r="U80" s="320">
        <v>0</v>
      </c>
      <c r="V80" s="211">
        <f>IFERROR(U80/$U$82,0)</f>
        <v>0</v>
      </c>
      <c r="W80" s="320">
        <v>0</v>
      </c>
      <c r="X80" s="211">
        <f>IFERROR(W80/$W$82,0)</f>
        <v>0</v>
      </c>
      <c r="Y80" s="320">
        <v>0</v>
      </c>
      <c r="Z80" s="211">
        <f>IFERROR(Y80/$Y$82,0)</f>
        <v>0</v>
      </c>
      <c r="AA80" s="213">
        <f>SUM(C80,E80,G80,I80,K80,M80,O80,Q80,S80,U80,W80,Y80)</f>
        <v>7010</v>
      </c>
      <c r="AB80" s="333">
        <f>IFERROR(AVERAGE(C80,E80,G80,I80,K80,M80,O80,Q80,S80,U80,W80,Y80),"-")</f>
        <v>584.16666666666663</v>
      </c>
      <c r="AC80" s="688"/>
      <c r="AD80" s="323" t="s">
        <v>198</v>
      </c>
      <c r="AE80" s="340">
        <f>SUM(AE72,AE74,AE76,AE78)</f>
        <v>1</v>
      </c>
      <c r="AF80" s="340">
        <f t="shared" si="5"/>
        <v>1</v>
      </c>
      <c r="AG80" s="340">
        <f t="shared" si="5"/>
        <v>1</v>
      </c>
      <c r="AH80" s="340">
        <f t="shared" si="5"/>
        <v>1</v>
      </c>
      <c r="AI80" s="340">
        <f t="shared" si="5"/>
        <v>1</v>
      </c>
      <c r="AJ80" s="340" t="e">
        <f t="shared" si="5"/>
        <v>#DIV/0!</v>
      </c>
      <c r="AK80" s="340" t="e">
        <f t="shared" si="5"/>
        <v>#DIV/0!</v>
      </c>
      <c r="AL80" s="340" t="e">
        <f t="shared" si="5"/>
        <v>#DIV/0!</v>
      </c>
      <c r="AM80" s="340" t="e">
        <f t="shared" si="5"/>
        <v>#DIV/0!</v>
      </c>
      <c r="AN80" s="340" t="e">
        <f t="shared" si="5"/>
        <v>#DIV/0!</v>
      </c>
      <c r="AO80" s="340" t="e">
        <f t="shared" si="5"/>
        <v>#DIV/0!</v>
      </c>
      <c r="AP80" s="340" t="e">
        <f t="shared" si="5"/>
        <v>#DIV/0!</v>
      </c>
      <c r="AQ80" s="335"/>
    </row>
    <row r="81" spans="1:42">
      <c r="A81" s="682"/>
      <c r="B81" s="306" t="s">
        <v>52</v>
      </c>
      <c r="C81" s="320">
        <v>963</v>
      </c>
      <c r="D81" s="211">
        <f>IFERROR(C81/$C$82,0)</f>
        <v>0.38123515439429928</v>
      </c>
      <c r="E81" s="320">
        <v>804</v>
      </c>
      <c r="F81" s="211">
        <f>IFERROR(E81/$E$82,0)</f>
        <v>0.31879460745440125</v>
      </c>
      <c r="G81" s="320">
        <v>569</v>
      </c>
      <c r="H81" s="211">
        <f>IFERROR(G81/$G$82,0)</f>
        <v>0.21602126044039482</v>
      </c>
      <c r="I81" s="320">
        <v>582</v>
      </c>
      <c r="J81" s="211">
        <f>IFERROR(I81/$I$82,0)</f>
        <v>0.2447434819175778</v>
      </c>
      <c r="K81" s="320">
        <v>452</v>
      </c>
      <c r="L81" s="212">
        <f>IFERROR(K81/$K$82,0)</f>
        <v>0.20443238353686116</v>
      </c>
      <c r="M81" s="320">
        <v>0</v>
      </c>
      <c r="N81" s="211">
        <f>IFERROR(M81/$M$82,0)</f>
        <v>0</v>
      </c>
      <c r="O81" s="320">
        <v>0</v>
      </c>
      <c r="P81" s="211">
        <f>IFERROR(O81/$O$82,0)</f>
        <v>0</v>
      </c>
      <c r="Q81" s="320">
        <v>0</v>
      </c>
      <c r="R81" s="211">
        <f>IFERROR(Q81/$Q$82,0)</f>
        <v>0</v>
      </c>
      <c r="S81" s="320">
        <v>0</v>
      </c>
      <c r="T81" s="211">
        <f>IFERROR(S81/$S$82,0)</f>
        <v>0</v>
      </c>
      <c r="U81" s="320">
        <v>0</v>
      </c>
      <c r="V81" s="211">
        <f>IFERROR(U81/$U$82,0)</f>
        <v>0</v>
      </c>
      <c r="W81" s="320">
        <v>0</v>
      </c>
      <c r="X81" s="211">
        <f>IFERROR(W81/$W$82,0)</f>
        <v>0</v>
      </c>
      <c r="Y81" s="320">
        <v>0</v>
      </c>
      <c r="Z81" s="211">
        <f>IFERROR(Y81/$Y$82,0)</f>
        <v>0</v>
      </c>
      <c r="AA81" s="213">
        <f>SUM(C81,E81,G81,I81,K81,M81,O81,Q81,S81,U81,W81,Y81)</f>
        <v>3370</v>
      </c>
      <c r="AB81" s="218">
        <f>IFERROR(AVERAGE(C81,E81,G81,I81,K81,M81,O81,Q81,S81,U81,W81,Y81),"-")</f>
        <v>280.83333333333331</v>
      </c>
    </row>
    <row r="82" spans="1:42">
      <c r="A82" s="682"/>
      <c r="B82" s="304" t="s">
        <v>37</v>
      </c>
      <c r="C82" s="213">
        <f t="shared" ref="C82:AA82" si="6">SUM(C78:C81)</f>
        <v>2526</v>
      </c>
      <c r="D82" s="214">
        <f t="shared" si="6"/>
        <v>1</v>
      </c>
      <c r="E82" s="213">
        <f t="shared" si="6"/>
        <v>2522</v>
      </c>
      <c r="F82" s="214">
        <f t="shared" si="6"/>
        <v>1</v>
      </c>
      <c r="G82" s="213">
        <f t="shared" si="6"/>
        <v>2634</v>
      </c>
      <c r="H82" s="214">
        <f t="shared" si="6"/>
        <v>1</v>
      </c>
      <c r="I82" s="213">
        <f t="shared" si="6"/>
        <v>2378</v>
      </c>
      <c r="J82" s="214">
        <f t="shared" si="6"/>
        <v>1</v>
      </c>
      <c r="K82" s="213">
        <f>SUM(K78:K81)</f>
        <v>2211</v>
      </c>
      <c r="L82" s="214">
        <f t="shared" si="6"/>
        <v>1</v>
      </c>
      <c r="M82" s="213">
        <f t="shared" si="6"/>
        <v>0</v>
      </c>
      <c r="N82" s="214">
        <f t="shared" si="6"/>
        <v>0</v>
      </c>
      <c r="O82" s="213">
        <f>SUM(O78:O81)</f>
        <v>0</v>
      </c>
      <c r="P82" s="214">
        <f t="shared" si="6"/>
        <v>0</v>
      </c>
      <c r="Q82" s="213">
        <f t="shared" si="6"/>
        <v>0</v>
      </c>
      <c r="R82" s="214">
        <f t="shared" si="6"/>
        <v>0</v>
      </c>
      <c r="S82" s="213">
        <f t="shared" si="6"/>
        <v>0</v>
      </c>
      <c r="T82" s="214">
        <f t="shared" si="6"/>
        <v>0</v>
      </c>
      <c r="U82" s="213">
        <f t="shared" si="6"/>
        <v>0</v>
      </c>
      <c r="V82" s="214">
        <f t="shared" si="6"/>
        <v>0</v>
      </c>
      <c r="W82" s="213">
        <f t="shared" si="6"/>
        <v>0</v>
      </c>
      <c r="X82" s="214">
        <f t="shared" si="6"/>
        <v>0</v>
      </c>
      <c r="Y82" s="213">
        <f t="shared" si="6"/>
        <v>0</v>
      </c>
      <c r="Z82" s="214">
        <f t="shared" si="6"/>
        <v>0</v>
      </c>
      <c r="AA82" s="213">
        <f t="shared" si="6"/>
        <v>12271</v>
      </c>
      <c r="AB82" s="218">
        <f>IFERROR(AVERAGE(C82,E82,G82,I82,K82,M82,O82,Q82,S82,U82,W82,Y82),"-")</f>
        <v>1022.5833333333334</v>
      </c>
    </row>
    <row r="83" spans="1:42">
      <c r="A83" s="219"/>
      <c r="B83" s="304" t="s">
        <v>77</v>
      </c>
      <c r="C83" s="685" t="s">
        <v>30</v>
      </c>
      <c r="D83" s="685"/>
      <c r="E83" s="685" t="s">
        <v>31</v>
      </c>
      <c r="F83" s="685"/>
      <c r="G83" s="685" t="s">
        <v>2</v>
      </c>
      <c r="H83" s="685"/>
      <c r="I83" s="685" t="s">
        <v>32</v>
      </c>
      <c r="J83" s="685"/>
      <c r="K83" s="685" t="s">
        <v>33</v>
      </c>
      <c r="L83" s="685"/>
      <c r="M83" s="685" t="s">
        <v>54</v>
      </c>
      <c r="N83" s="685"/>
      <c r="O83" s="685" t="s">
        <v>55</v>
      </c>
      <c r="P83" s="685"/>
      <c r="Q83" s="685" t="s">
        <v>56</v>
      </c>
      <c r="R83" s="685"/>
      <c r="S83" s="685" t="s">
        <v>57</v>
      </c>
      <c r="T83" s="685"/>
      <c r="U83" s="685" t="s">
        <v>58</v>
      </c>
      <c r="V83" s="685"/>
      <c r="W83" s="685" t="s">
        <v>59</v>
      </c>
      <c r="X83" s="685"/>
      <c r="Y83" s="685" t="s">
        <v>60</v>
      </c>
      <c r="Z83" s="685"/>
      <c r="AA83" s="304" t="s">
        <v>16</v>
      </c>
      <c r="AB83" s="334" t="s">
        <v>17</v>
      </c>
      <c r="AC83" s="336" t="s">
        <v>77</v>
      </c>
      <c r="AD83" s="342" t="s">
        <v>61</v>
      </c>
      <c r="AE83" s="342" t="s">
        <v>62</v>
      </c>
      <c r="AF83" s="342" t="s">
        <v>63</v>
      </c>
      <c r="AG83" s="342" t="s">
        <v>64</v>
      </c>
      <c r="AH83" s="342" t="s">
        <v>65</v>
      </c>
      <c r="AI83" s="342" t="s">
        <v>66</v>
      </c>
      <c r="AJ83" s="342" t="s">
        <v>95</v>
      </c>
      <c r="AK83" s="342" t="s">
        <v>102</v>
      </c>
      <c r="AL83" s="342" t="s">
        <v>103</v>
      </c>
      <c r="AM83" s="342" t="s">
        <v>104</v>
      </c>
      <c r="AN83" s="342" t="s">
        <v>105</v>
      </c>
      <c r="AO83" s="342" t="s">
        <v>106</v>
      </c>
      <c r="AP83" s="342"/>
    </row>
    <row r="84" spans="1:42">
      <c r="A84" s="682" t="s">
        <v>89</v>
      </c>
      <c r="B84" s="306" t="s">
        <v>49</v>
      </c>
      <c r="C84" s="320">
        <v>241</v>
      </c>
      <c r="D84" s="211">
        <f>IFERROR(C84/$C$88,0)</f>
        <v>0.14885731933292157</v>
      </c>
      <c r="E84" s="320">
        <v>194</v>
      </c>
      <c r="F84" s="211">
        <f>IFERROR(E84/$E$88,0)</f>
        <v>0.14719271623672231</v>
      </c>
      <c r="G84" s="320">
        <v>166</v>
      </c>
      <c r="H84" s="211">
        <f>IFERROR(G84/$G$88,0)</f>
        <v>0.11576011157601115</v>
      </c>
      <c r="I84" s="320">
        <v>142</v>
      </c>
      <c r="J84" s="211">
        <f>IFERROR(I84/$I$88,0)</f>
        <v>0.11154752553024352</v>
      </c>
      <c r="K84" s="320">
        <v>114</v>
      </c>
      <c r="L84" s="212">
        <f>IFERROR(K84/$K$88,0)</f>
        <v>0.10151380231522707</v>
      </c>
      <c r="M84" s="320">
        <v>0</v>
      </c>
      <c r="N84" s="211">
        <f>IFERROR(M84/$M$88,0)</f>
        <v>0</v>
      </c>
      <c r="O84" s="320">
        <v>0</v>
      </c>
      <c r="P84" s="211">
        <f>IFERROR(O84/$O$88,0)</f>
        <v>0</v>
      </c>
      <c r="Q84" s="320">
        <v>0</v>
      </c>
      <c r="R84" s="211">
        <f>IFERROR(Q84/$Q$88,0)</f>
        <v>0</v>
      </c>
      <c r="S84" s="320">
        <v>0</v>
      </c>
      <c r="T84" s="211">
        <f>IFERROR(S84/$S$88,0)</f>
        <v>0</v>
      </c>
      <c r="U84" s="320">
        <v>0</v>
      </c>
      <c r="V84" s="211">
        <f>IFERROR(U84/$U$88,0)</f>
        <v>0</v>
      </c>
      <c r="W84" s="320">
        <v>0</v>
      </c>
      <c r="X84" s="211">
        <f>IFERROR(W84/$W$88,0)</f>
        <v>0</v>
      </c>
      <c r="Y84" s="320">
        <v>0</v>
      </c>
      <c r="Z84" s="211">
        <f>IFERROR(Y84/$Y$88,0)</f>
        <v>0</v>
      </c>
      <c r="AA84" s="213">
        <f>SUM(C84,E84,G84,I84,K84,M84,O84,Q84,S84,U84,W84,Y84)</f>
        <v>857</v>
      </c>
      <c r="AB84" s="333">
        <f>IFERROR(AVERAGE(C84,E84,G84,I84,K84,M84,O84,Q84,S84,U84,W84,Y84),"-")</f>
        <v>71.416666666666671</v>
      </c>
      <c r="AC84" s="337" t="s">
        <v>49</v>
      </c>
      <c r="AD84" s="343">
        <f>AE72</f>
        <v>4.838303762426073E-2</v>
      </c>
      <c r="AE84" s="343">
        <f t="shared" ref="AE84:AO84" si="7">AF72</f>
        <v>4.5094007050528788E-2</v>
      </c>
      <c r="AF84" s="343">
        <f t="shared" si="7"/>
        <v>3.076206012584479E-2</v>
      </c>
      <c r="AG84" s="343">
        <f t="shared" si="7"/>
        <v>2.8879004705730679E-2</v>
      </c>
      <c r="AH84" s="343">
        <f t="shared" si="7"/>
        <v>2.311465358675659E-2</v>
      </c>
      <c r="AI84" s="343" t="e">
        <f t="shared" si="7"/>
        <v>#DIV/0!</v>
      </c>
      <c r="AJ84" s="343" t="e">
        <f t="shared" si="7"/>
        <v>#DIV/0!</v>
      </c>
      <c r="AK84" s="343" t="e">
        <f t="shared" si="7"/>
        <v>#DIV/0!</v>
      </c>
      <c r="AL84" s="343" t="e">
        <f t="shared" si="7"/>
        <v>#DIV/0!</v>
      </c>
      <c r="AM84" s="343" t="e">
        <f t="shared" si="7"/>
        <v>#DIV/0!</v>
      </c>
      <c r="AN84" s="343" t="e">
        <f t="shared" si="7"/>
        <v>#DIV/0!</v>
      </c>
      <c r="AO84" s="343" t="e">
        <f t="shared" si="7"/>
        <v>#DIV/0!</v>
      </c>
      <c r="AP84" s="344">
        <f t="shared" ref="AP84" si="8">AF100</f>
        <v>1.1934361014420686E-2</v>
      </c>
    </row>
    <row r="85" spans="1:42">
      <c r="A85" s="682"/>
      <c r="B85" s="306" t="s">
        <v>50</v>
      </c>
      <c r="C85" s="320">
        <v>291</v>
      </c>
      <c r="D85" s="211">
        <f>IFERROR(C85/$C$88,0)</f>
        <v>0.17974058060531192</v>
      </c>
      <c r="E85" s="320">
        <v>213</v>
      </c>
      <c r="F85" s="211">
        <f>IFERROR(E85/$E$88,0)</f>
        <v>0.16160849772382396</v>
      </c>
      <c r="G85" s="320">
        <v>184</v>
      </c>
      <c r="H85" s="211">
        <f>IFERROR(G85/$G$88,0)</f>
        <v>0.12831241283124128</v>
      </c>
      <c r="I85" s="320">
        <v>164</v>
      </c>
      <c r="J85" s="211">
        <f>IFERROR(I85/$I$88,0)</f>
        <v>0.12882953652788687</v>
      </c>
      <c r="K85" s="320">
        <v>126</v>
      </c>
      <c r="L85" s="212">
        <f>IFERROR(K85/$K$88,0)</f>
        <v>0.11219946571682991</v>
      </c>
      <c r="M85" s="320">
        <v>0</v>
      </c>
      <c r="N85" s="211">
        <f>IFERROR(M85/$M$88,0)</f>
        <v>0</v>
      </c>
      <c r="O85" s="320">
        <v>0</v>
      </c>
      <c r="P85" s="211">
        <f>IFERROR(O85/$O$88,0)</f>
        <v>0</v>
      </c>
      <c r="Q85" s="320">
        <v>0</v>
      </c>
      <c r="R85" s="211">
        <f>IFERROR(Q85/$Q$88,0)</f>
        <v>0</v>
      </c>
      <c r="S85" s="320">
        <v>0</v>
      </c>
      <c r="T85" s="211">
        <f>IFERROR(S85/$S$88,0)</f>
        <v>0</v>
      </c>
      <c r="U85" s="320">
        <v>0</v>
      </c>
      <c r="V85" s="211">
        <f>IFERROR(U85/$U$88,0)</f>
        <v>0</v>
      </c>
      <c r="W85" s="320">
        <v>0</v>
      </c>
      <c r="X85" s="211">
        <f>IFERROR(W85/$W$88,0)</f>
        <v>0</v>
      </c>
      <c r="Y85" s="320">
        <v>0</v>
      </c>
      <c r="Z85" s="211">
        <f>IFERROR(Y85/$Y$88,0)</f>
        <v>0</v>
      </c>
      <c r="AA85" s="213">
        <f>SUM(C85,E85,G85,I85,K85,M85,O85,Q85,S85,U85,W85,Y85)</f>
        <v>978</v>
      </c>
      <c r="AB85" s="333">
        <f>IFERROR(AVERAGE(C85,E85,G85,I85,K85,M85,O85,Q85,S85,U85,W85,Y85),"-")</f>
        <v>81.5</v>
      </c>
      <c r="AC85" s="337" t="s">
        <v>50</v>
      </c>
      <c r="AD85" s="343">
        <f>AE74</f>
        <v>0.16641499937083176</v>
      </c>
      <c r="AE85" s="343">
        <f t="shared" ref="AE85:AO85" si="9">AF74</f>
        <v>0.11802291421856639</v>
      </c>
      <c r="AF85" s="343">
        <f t="shared" si="9"/>
        <v>8.2032160335586107E-2</v>
      </c>
      <c r="AG85" s="343">
        <f t="shared" si="9"/>
        <v>9.533939276735641E-2</v>
      </c>
      <c r="AH85" s="343">
        <f t="shared" si="9"/>
        <v>7.3206621704475783E-2</v>
      </c>
      <c r="AI85" s="343" t="e">
        <f t="shared" si="9"/>
        <v>#DIV/0!</v>
      </c>
      <c r="AJ85" s="343" t="e">
        <f t="shared" si="9"/>
        <v>#DIV/0!</v>
      </c>
      <c r="AK85" s="343" t="e">
        <f t="shared" si="9"/>
        <v>#DIV/0!</v>
      </c>
      <c r="AL85" s="343" t="e">
        <f t="shared" si="9"/>
        <v>#DIV/0!</v>
      </c>
      <c r="AM85" s="343" t="e">
        <f t="shared" si="9"/>
        <v>#DIV/0!</v>
      </c>
      <c r="AN85" s="343" t="e">
        <f t="shared" si="9"/>
        <v>#DIV/0!</v>
      </c>
      <c r="AO85" s="343" t="e">
        <f t="shared" si="9"/>
        <v>#DIV/0!</v>
      </c>
      <c r="AP85" s="344">
        <f t="shared" ref="AP85" si="10">AF102</f>
        <v>9.075087021382397E-2</v>
      </c>
    </row>
    <row r="86" spans="1:42">
      <c r="A86" s="682"/>
      <c r="B86" s="306" t="s">
        <v>51</v>
      </c>
      <c r="C86" s="320">
        <v>635</v>
      </c>
      <c r="D86" s="211">
        <f>IFERROR(C86/$C$88,0)</f>
        <v>0.39221741815935762</v>
      </c>
      <c r="E86" s="320">
        <v>547</v>
      </c>
      <c r="F86" s="211">
        <f>IFERROR(E86/$E$88,0)</f>
        <v>0.41502276176024278</v>
      </c>
      <c r="G86" s="320">
        <v>783</v>
      </c>
      <c r="H86" s="211">
        <f>IFERROR(G86/$G$88,0)</f>
        <v>0.54602510460251041</v>
      </c>
      <c r="I86" s="320">
        <v>673</v>
      </c>
      <c r="J86" s="211">
        <f>IFERROR(I86/$I$88,0)</f>
        <v>0.52867242733699926</v>
      </c>
      <c r="K86" s="320">
        <v>627</v>
      </c>
      <c r="L86" s="212">
        <f>IFERROR(K86/$K$88,0)</f>
        <v>0.55832591273374887</v>
      </c>
      <c r="M86" s="320">
        <v>0</v>
      </c>
      <c r="N86" s="211">
        <f>IFERROR(M86/$M$88,0)</f>
        <v>0</v>
      </c>
      <c r="O86" s="320">
        <v>0</v>
      </c>
      <c r="P86" s="211">
        <f>IFERROR(O86/$O$88,0)</f>
        <v>0</v>
      </c>
      <c r="Q86" s="320">
        <v>0</v>
      </c>
      <c r="R86" s="211">
        <f>IFERROR(Q86/$Q$88,0)</f>
        <v>0</v>
      </c>
      <c r="S86" s="320">
        <v>0</v>
      </c>
      <c r="T86" s="211">
        <f>IFERROR(S86/$S$88,0)</f>
        <v>0</v>
      </c>
      <c r="U86" s="320">
        <v>0</v>
      </c>
      <c r="V86" s="211">
        <f>IFERROR(U86/$U$88,0)</f>
        <v>0</v>
      </c>
      <c r="W86" s="320">
        <v>0</v>
      </c>
      <c r="X86" s="211">
        <f>IFERROR(W86/$W$88,0)</f>
        <v>0</v>
      </c>
      <c r="Y86" s="320">
        <v>0</v>
      </c>
      <c r="Z86" s="211">
        <f>IFERROR(Y86/$Y$88,0)</f>
        <v>0</v>
      </c>
      <c r="AA86" s="213">
        <f>SUM(C86,E86,G86,I86,K86,M86,O86,Q86,S86,U86,W86,Y86)</f>
        <v>3265</v>
      </c>
      <c r="AB86" s="333">
        <f>IFERROR(AVERAGE(C86,E86,G86,I86,K86,M86,O86,Q86,S86,U86,W86,Y86),"-")</f>
        <v>272.08333333333331</v>
      </c>
      <c r="AC86" s="337" t="s">
        <v>51</v>
      </c>
      <c r="AD86" s="343">
        <f>AE76</f>
        <v>0.47860827985403298</v>
      </c>
      <c r="AE86" s="343">
        <f t="shared" ref="AE86:AO86" si="11">AF76</f>
        <v>0.61603995299647474</v>
      </c>
      <c r="AF86" s="343">
        <f t="shared" si="11"/>
        <v>0.74085294803076207</v>
      </c>
      <c r="AG86" s="343">
        <f t="shared" si="11"/>
        <v>0.69212918197640694</v>
      </c>
      <c r="AH86" s="343">
        <f t="shared" si="11"/>
        <v>0.75303494788473324</v>
      </c>
      <c r="AI86" s="343" t="e">
        <f t="shared" si="11"/>
        <v>#DIV/0!</v>
      </c>
      <c r="AJ86" s="343" t="e">
        <f t="shared" si="11"/>
        <v>#DIV/0!</v>
      </c>
      <c r="AK86" s="343" t="e">
        <f t="shared" si="11"/>
        <v>#DIV/0!</v>
      </c>
      <c r="AL86" s="343" t="e">
        <f t="shared" si="11"/>
        <v>#DIV/0!</v>
      </c>
      <c r="AM86" s="343" t="e">
        <f t="shared" si="11"/>
        <v>#DIV/0!</v>
      </c>
      <c r="AN86" s="343" t="e">
        <f t="shared" si="11"/>
        <v>#DIV/0!</v>
      </c>
      <c r="AO86" s="343" t="e">
        <f t="shared" si="11"/>
        <v>#DIV/0!</v>
      </c>
      <c r="AP86" s="344">
        <f t="shared" ref="AP86" si="12">AF104</f>
        <v>0.18722028841372451</v>
      </c>
    </row>
    <row r="87" spans="1:42">
      <c r="A87" s="682"/>
      <c r="B87" s="306" t="s">
        <v>52</v>
      </c>
      <c r="C87" s="320">
        <v>452</v>
      </c>
      <c r="D87" s="211">
        <f>IFERROR(C87/$C$88,0)</f>
        <v>0.27918468190240892</v>
      </c>
      <c r="E87" s="320">
        <v>364</v>
      </c>
      <c r="F87" s="211">
        <f>IFERROR(E87/$E$88,0)</f>
        <v>0.27617602427921095</v>
      </c>
      <c r="G87" s="320">
        <v>301</v>
      </c>
      <c r="H87" s="211">
        <f>IFERROR(G87/$G$88,0)</f>
        <v>0.20990237099023709</v>
      </c>
      <c r="I87" s="320">
        <v>294</v>
      </c>
      <c r="J87" s="211">
        <f>IFERROR(I87/$I$88,0)</f>
        <v>0.23095051060487037</v>
      </c>
      <c r="K87" s="320">
        <v>256</v>
      </c>
      <c r="L87" s="212">
        <f>IFERROR(K87/$K$88,0)</f>
        <v>0.22796081923419412</v>
      </c>
      <c r="M87" s="320">
        <v>0</v>
      </c>
      <c r="N87" s="211">
        <f>IFERROR(M87/$M$88,0)</f>
        <v>0</v>
      </c>
      <c r="O87" s="320">
        <v>0</v>
      </c>
      <c r="P87" s="211">
        <f>IFERROR(O87/$O$88,0)</f>
        <v>0</v>
      </c>
      <c r="Q87" s="320">
        <v>0</v>
      </c>
      <c r="R87" s="211">
        <f>IFERROR(Q87/$Q$88,0)</f>
        <v>0</v>
      </c>
      <c r="S87" s="320">
        <v>0</v>
      </c>
      <c r="T87" s="211">
        <f>IFERROR(S87/$S$88,0)</f>
        <v>0</v>
      </c>
      <c r="U87" s="320">
        <v>0</v>
      </c>
      <c r="V87" s="211">
        <f>IFERROR(U87/$U$88,0)</f>
        <v>0</v>
      </c>
      <c r="W87" s="320">
        <v>0</v>
      </c>
      <c r="X87" s="211">
        <f>IFERROR(W87/$W$88,0)</f>
        <v>0</v>
      </c>
      <c r="Y87" s="320">
        <v>0</v>
      </c>
      <c r="Z87" s="211">
        <f>IFERROR(Y87/$Y$88,0)</f>
        <v>0</v>
      </c>
      <c r="AA87" s="213">
        <f>SUM(C87,E87,G87,I87,K87,M87,O87,Q87,S87,U87,W87,Y87)</f>
        <v>1667</v>
      </c>
      <c r="AB87" s="333">
        <f>IFERROR(AVERAGE(C87,E87,G87,I87,K87,M87,O87,Q87,S87,U87,W87,Y87),"-")</f>
        <v>138.91666666666666</v>
      </c>
      <c r="AC87" s="337" t="s">
        <v>52</v>
      </c>
      <c r="AD87" s="343">
        <f>AE78</f>
        <v>0.30659368315087454</v>
      </c>
      <c r="AE87" s="343">
        <f t="shared" ref="AE87:AO87" si="13">AF78</f>
        <v>0.22084312573443007</v>
      </c>
      <c r="AF87" s="343">
        <f t="shared" si="13"/>
        <v>0.14635283150780704</v>
      </c>
      <c r="AG87" s="343">
        <f t="shared" si="13"/>
        <v>0.18365242055050604</v>
      </c>
      <c r="AH87" s="343">
        <f t="shared" si="13"/>
        <v>0.15064377682403435</v>
      </c>
      <c r="AI87" s="343" t="e">
        <f t="shared" si="13"/>
        <v>#DIV/0!</v>
      </c>
      <c r="AJ87" s="343" t="e">
        <f t="shared" si="13"/>
        <v>#DIV/0!</v>
      </c>
      <c r="AK87" s="343" t="e">
        <f t="shared" si="13"/>
        <v>#DIV/0!</v>
      </c>
      <c r="AL87" s="343" t="e">
        <f t="shared" si="13"/>
        <v>#DIV/0!</v>
      </c>
      <c r="AM87" s="343" t="e">
        <f t="shared" si="13"/>
        <v>#DIV/0!</v>
      </c>
      <c r="AN87" s="343" t="e">
        <f t="shared" si="13"/>
        <v>#DIV/0!</v>
      </c>
      <c r="AO87" s="343" t="e">
        <f t="shared" si="13"/>
        <v>#DIV/0!</v>
      </c>
      <c r="AP87" s="344">
        <f t="shared" ref="AP87" si="14">AF106</f>
        <v>0.7100944803580308</v>
      </c>
    </row>
    <row r="88" spans="1:42" ht="14.95" thickBot="1">
      <c r="A88" s="683"/>
      <c r="B88" s="220" t="s">
        <v>37</v>
      </c>
      <c r="C88" s="224">
        <f>SUM(C84:C87)</f>
        <v>1619</v>
      </c>
      <c r="D88" s="225">
        <f>SUM(D84:D87)</f>
        <v>1</v>
      </c>
      <c r="E88" s="224">
        <f>SUM(E84:E87)</f>
        <v>1318</v>
      </c>
      <c r="F88" s="225">
        <f t="shared" ref="F88:AA88" si="15">SUM(F84:F87)</f>
        <v>1</v>
      </c>
      <c r="G88" s="224">
        <f t="shared" si="15"/>
        <v>1434</v>
      </c>
      <c r="H88" s="225">
        <f t="shared" si="15"/>
        <v>1</v>
      </c>
      <c r="I88" s="224">
        <f t="shared" si="15"/>
        <v>1273</v>
      </c>
      <c r="J88" s="225">
        <f t="shared" si="15"/>
        <v>1</v>
      </c>
      <c r="K88" s="224">
        <f>SUM(K84:K87)</f>
        <v>1123</v>
      </c>
      <c r="L88" s="225">
        <f>SUM(L84:L87)</f>
        <v>0.99999999999999989</v>
      </c>
      <c r="M88" s="224">
        <f t="shared" si="15"/>
        <v>0</v>
      </c>
      <c r="N88" s="225">
        <f t="shared" si="15"/>
        <v>0</v>
      </c>
      <c r="O88" s="224">
        <f>SUM(O84:O87)</f>
        <v>0</v>
      </c>
      <c r="P88" s="225">
        <f t="shared" si="15"/>
        <v>0</v>
      </c>
      <c r="Q88" s="224">
        <f t="shared" si="15"/>
        <v>0</v>
      </c>
      <c r="R88" s="225">
        <f t="shared" si="15"/>
        <v>0</v>
      </c>
      <c r="S88" s="221">
        <f t="shared" si="15"/>
        <v>0</v>
      </c>
      <c r="T88" s="222">
        <f t="shared" si="15"/>
        <v>0</v>
      </c>
      <c r="U88" s="221">
        <f t="shared" si="15"/>
        <v>0</v>
      </c>
      <c r="V88" s="222">
        <f t="shared" si="15"/>
        <v>0</v>
      </c>
      <c r="W88" s="221">
        <f t="shared" si="15"/>
        <v>0</v>
      </c>
      <c r="X88" s="222">
        <f t="shared" si="15"/>
        <v>0</v>
      </c>
      <c r="Y88" s="221">
        <f t="shared" si="15"/>
        <v>0</v>
      </c>
      <c r="Z88" s="222">
        <f t="shared" si="15"/>
        <v>0</v>
      </c>
      <c r="AA88" s="221">
        <f t="shared" si="15"/>
        <v>6767</v>
      </c>
      <c r="AB88" s="341">
        <f>IFERROR(AVERAGE(C88,E88,G88,I88,K88,M88,O88,Q88,S88,U88,W88,Y88),"-")</f>
        <v>563.91666666666663</v>
      </c>
      <c r="AC88" s="336" t="s">
        <v>37</v>
      </c>
      <c r="AD88" s="345">
        <f>SUM(AD84:AD87)</f>
        <v>1</v>
      </c>
      <c r="AE88" s="345">
        <f t="shared" ref="AE88:AO88" si="16">SUM(AE84:AE87)</f>
        <v>1</v>
      </c>
      <c r="AF88" s="345">
        <f t="shared" si="16"/>
        <v>1</v>
      </c>
      <c r="AG88" s="345">
        <f t="shared" si="16"/>
        <v>1</v>
      </c>
      <c r="AH88" s="345">
        <f t="shared" si="16"/>
        <v>1</v>
      </c>
      <c r="AI88" s="345" t="e">
        <f t="shared" si="16"/>
        <v>#DIV/0!</v>
      </c>
      <c r="AJ88" s="345" t="e">
        <f t="shared" si="16"/>
        <v>#DIV/0!</v>
      </c>
      <c r="AK88" s="345" t="e">
        <f t="shared" si="16"/>
        <v>#DIV/0!</v>
      </c>
      <c r="AL88" s="345" t="e">
        <f t="shared" si="16"/>
        <v>#DIV/0!</v>
      </c>
      <c r="AM88" s="345" t="e">
        <f t="shared" si="16"/>
        <v>#DIV/0!</v>
      </c>
      <c r="AN88" s="345" t="e">
        <f t="shared" si="16"/>
        <v>#DIV/0!</v>
      </c>
      <c r="AO88" s="345" t="e">
        <f t="shared" si="16"/>
        <v>#DIV/0!</v>
      </c>
      <c r="AP88" s="342"/>
    </row>
    <row r="89" spans="1:42">
      <c r="A89" s="202"/>
      <c r="B89" s="201"/>
      <c r="C89" s="698" t="s">
        <v>112</v>
      </c>
      <c r="D89" s="699"/>
      <c r="E89" s="699"/>
      <c r="F89" s="699"/>
      <c r="G89" s="699"/>
      <c r="H89" s="699"/>
      <c r="I89" s="699"/>
      <c r="J89" s="699"/>
      <c r="K89" s="699"/>
      <c r="L89" s="699"/>
      <c r="M89" s="699"/>
      <c r="N89" s="699"/>
      <c r="O89" s="699"/>
      <c r="P89" s="699"/>
      <c r="Q89" s="699"/>
      <c r="R89" s="700"/>
      <c r="S89" s="104"/>
      <c r="T89" s="102"/>
      <c r="U89" s="104"/>
      <c r="V89" s="102"/>
      <c r="W89" s="104"/>
      <c r="X89" s="102"/>
      <c r="Y89" s="104"/>
      <c r="Z89" s="102"/>
      <c r="AA89" s="104"/>
      <c r="AB89" s="104"/>
    </row>
    <row r="90" spans="1:42" ht="14.95" thickBot="1">
      <c r="A90" s="305"/>
      <c r="B90" s="205"/>
      <c r="C90" s="701"/>
      <c r="D90" s="702"/>
      <c r="E90" s="702"/>
      <c r="F90" s="702"/>
      <c r="G90" s="702"/>
      <c r="H90" s="702"/>
      <c r="I90" s="702"/>
      <c r="J90" s="702"/>
      <c r="K90" s="702"/>
      <c r="L90" s="702"/>
      <c r="M90" s="702"/>
      <c r="N90" s="702"/>
      <c r="O90" s="702"/>
      <c r="P90" s="702"/>
      <c r="Q90" s="702"/>
      <c r="R90" s="703"/>
    </row>
    <row r="91" spans="1:42">
      <c r="A91" s="696"/>
      <c r="B91" s="92"/>
      <c r="C91" s="704" t="s">
        <v>77</v>
      </c>
      <c r="D91" s="684"/>
      <c r="E91" s="684"/>
      <c r="F91" s="684"/>
      <c r="G91" s="303" t="s">
        <v>129</v>
      </c>
      <c r="H91" s="303" t="s">
        <v>130</v>
      </c>
      <c r="I91" s="303" t="s">
        <v>131</v>
      </c>
      <c r="J91" s="303" t="s">
        <v>132</v>
      </c>
      <c r="K91" s="303" t="s">
        <v>133</v>
      </c>
      <c r="L91" s="303" t="s">
        <v>134</v>
      </c>
      <c r="M91" s="303" t="s">
        <v>135</v>
      </c>
      <c r="N91" s="303" t="s">
        <v>136</v>
      </c>
      <c r="O91" s="303" t="s">
        <v>137</v>
      </c>
      <c r="P91" s="303" t="s">
        <v>138</v>
      </c>
      <c r="Q91" s="303" t="s">
        <v>139</v>
      </c>
      <c r="R91" s="217" t="s">
        <v>140</v>
      </c>
    </row>
    <row r="92" spans="1:42">
      <c r="A92" s="696"/>
      <c r="B92" s="94"/>
      <c r="C92" s="705" t="s">
        <v>49</v>
      </c>
      <c r="D92" s="697"/>
      <c r="E92" s="697"/>
      <c r="F92" s="697"/>
      <c r="G92" s="226">
        <f>D72+D78+D84</f>
        <v>0.2690034586886606</v>
      </c>
      <c r="H92" s="226">
        <f>F72+F78+F84</f>
        <v>0.24752785214709402</v>
      </c>
      <c r="I92" s="226">
        <f>H72+H78+H84</f>
        <v>0.19344524174495459</v>
      </c>
      <c r="J92" s="226">
        <f>J72+J78+J84</f>
        <v>0.18475101409278338</v>
      </c>
      <c r="K92" s="226">
        <f>L72+L78+L84</f>
        <v>0.16455691959509833</v>
      </c>
      <c r="L92" s="226">
        <f>N72+N78+N84</f>
        <v>0</v>
      </c>
      <c r="M92" s="226">
        <f>P72+P78+P84</f>
        <v>0</v>
      </c>
      <c r="N92" s="226">
        <f>R72+R78+R84</f>
        <v>0</v>
      </c>
      <c r="O92" s="226">
        <f>T72+T78+T84</f>
        <v>0</v>
      </c>
      <c r="P92" s="226">
        <f>V72+V78+V84</f>
        <v>0</v>
      </c>
      <c r="Q92" s="226">
        <f>X72+X78+X84</f>
        <v>0</v>
      </c>
      <c r="R92" s="227">
        <f>Z72+Z78+Z84</f>
        <v>0</v>
      </c>
    </row>
    <row r="93" spans="1:42">
      <c r="A93" s="696"/>
      <c r="B93" s="94"/>
      <c r="C93" s="705" t="s">
        <v>50</v>
      </c>
      <c r="D93" s="697"/>
      <c r="E93" s="697"/>
      <c r="F93" s="697"/>
      <c r="G93" s="226">
        <f>D73+D79+D85</f>
        <v>0.4727072770516394</v>
      </c>
      <c r="H93" s="226">
        <f>F73+F79+F85</f>
        <v>0.37187306316496321</v>
      </c>
      <c r="I93" s="226">
        <f>H73+H79+H85</f>
        <v>0.28091791375450914</v>
      </c>
      <c r="J93" s="226">
        <f>J73+J79+J85</f>
        <v>0.30155196727372646</v>
      </c>
      <c r="K93" s="226">
        <f>L73+L79+L85</f>
        <v>0.24215803376661577</v>
      </c>
      <c r="L93" s="226">
        <f>N73+N79+N85</f>
        <v>0</v>
      </c>
      <c r="M93" s="226">
        <f>P73+P79+P85</f>
        <v>0</v>
      </c>
      <c r="N93" s="226">
        <f>R73+R79+R85</f>
        <v>0</v>
      </c>
      <c r="O93" s="226">
        <f>T73+T79+T85</f>
        <v>0</v>
      </c>
      <c r="P93" s="226">
        <f>V73+V79+V85</f>
        <v>0</v>
      </c>
      <c r="Q93" s="226">
        <f>X73+X79+X85</f>
        <v>0</v>
      </c>
      <c r="R93" s="227">
        <f>Z73+Z79+Z85</f>
        <v>0</v>
      </c>
    </row>
    <row r="94" spans="1:42">
      <c r="A94" s="696"/>
      <c r="B94" s="94"/>
      <c r="C94" s="705" t="s">
        <v>51</v>
      </c>
      <c r="D94" s="697"/>
      <c r="E94" s="697"/>
      <c r="F94" s="697"/>
      <c r="G94" s="226">
        <f>D74+D80+D86</f>
        <v>1.3035465068633236</v>
      </c>
      <c r="H94" s="226">
        <f>F74+F80+F86</f>
        <v>1.5975147050001572</v>
      </c>
      <c r="I94" s="226">
        <f>H74+H80+H86</f>
        <v>1.9743314171016697</v>
      </c>
      <c r="J94" s="226">
        <f>J74+J80+J86</f>
        <v>1.8716735707072316</v>
      </c>
      <c r="K94" s="226">
        <f>L74+L80+L86</f>
        <v>2.0261045442371444</v>
      </c>
      <c r="L94" s="226">
        <f>N74+N80+N86</f>
        <v>0</v>
      </c>
      <c r="M94" s="226">
        <f>P74+P80+P86</f>
        <v>0</v>
      </c>
      <c r="N94" s="226">
        <f>R74+R80+R86</f>
        <v>0</v>
      </c>
      <c r="O94" s="226">
        <f>T74+T80+T86</f>
        <v>0</v>
      </c>
      <c r="P94" s="226">
        <f>V74+V80+V86</f>
        <v>0</v>
      </c>
      <c r="Q94" s="226">
        <f>X74+X80+X86</f>
        <v>0</v>
      </c>
      <c r="R94" s="227">
        <f>Z74+Z80+Z86</f>
        <v>0</v>
      </c>
      <c r="Y94" s="209"/>
    </row>
    <row r="95" spans="1:42" ht="14.95" thickBot="1">
      <c r="A95" s="696"/>
      <c r="B95" s="94"/>
      <c r="C95" s="711" t="s">
        <v>52</v>
      </c>
      <c r="D95" s="712"/>
      <c r="E95" s="712"/>
      <c r="F95" s="712"/>
      <c r="G95" s="228">
        <f>D75+D81+D87</f>
        <v>0.95474275739637626</v>
      </c>
      <c r="H95" s="228">
        <f>F75+F81+F87</f>
        <v>0.78308437968778566</v>
      </c>
      <c r="I95" s="228">
        <f>H75+H81+H87</f>
        <v>0.55130542739886645</v>
      </c>
      <c r="J95" s="228">
        <f>J75+J81+J87</f>
        <v>0.64202344792625865</v>
      </c>
      <c r="K95" s="228">
        <f>L75+L81+L87</f>
        <v>0.5671805024011416</v>
      </c>
      <c r="L95" s="228">
        <f>N75+N81+N87</f>
        <v>0</v>
      </c>
      <c r="M95" s="228">
        <f>P75+P81+P87</f>
        <v>0</v>
      </c>
      <c r="N95" s="228">
        <f>R75+R81+R87</f>
        <v>0</v>
      </c>
      <c r="O95" s="228">
        <f>T75+T81+T87</f>
        <v>0</v>
      </c>
      <c r="P95" s="228">
        <f>V75+V81+V87</f>
        <v>0</v>
      </c>
      <c r="Q95" s="228">
        <f>X75+X81+X87</f>
        <v>0</v>
      </c>
      <c r="R95" s="229">
        <f>Z75+Z81+Z87</f>
        <v>0</v>
      </c>
    </row>
    <row r="96" spans="1:42">
      <c r="A96" s="305"/>
      <c r="B96" s="92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6"/>
    </row>
    <row r="97" spans="1:43" ht="14.95" thickBot="1">
      <c r="A97" s="305"/>
      <c r="B97" s="92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</row>
    <row r="98" spans="1:43" ht="24.45" thickBot="1">
      <c r="A98" s="709" t="s">
        <v>180</v>
      </c>
      <c r="B98" s="710"/>
      <c r="C98" s="710"/>
      <c r="D98" s="710"/>
      <c r="E98" s="710"/>
      <c r="F98" s="710"/>
      <c r="G98" s="710"/>
      <c r="H98" s="710"/>
      <c r="I98" s="710"/>
      <c r="J98" s="710"/>
      <c r="K98" s="710"/>
      <c r="L98" s="710"/>
      <c r="M98" s="710"/>
      <c r="N98" s="710"/>
      <c r="O98" s="710"/>
      <c r="P98" s="710"/>
      <c r="Q98" s="710"/>
      <c r="R98" s="710"/>
      <c r="S98" s="710"/>
      <c r="T98" s="710"/>
      <c r="U98" s="710"/>
      <c r="V98" s="710"/>
      <c r="W98" s="710"/>
      <c r="X98" s="710"/>
      <c r="Y98" s="710"/>
      <c r="Z98" s="710"/>
      <c r="AA98" s="710"/>
      <c r="AB98" s="713"/>
      <c r="AC98" s="686" t="s">
        <v>196</v>
      </c>
      <c r="AD98" s="322"/>
      <c r="AE98" s="322" t="s">
        <v>197</v>
      </c>
      <c r="AF98" s="322" t="s">
        <v>62</v>
      </c>
      <c r="AG98" s="322" t="s">
        <v>63</v>
      </c>
      <c r="AH98" s="322" t="s">
        <v>64</v>
      </c>
      <c r="AI98" s="322" t="s">
        <v>65</v>
      </c>
      <c r="AJ98" s="322" t="s">
        <v>66</v>
      </c>
      <c r="AK98" s="322" t="s">
        <v>95</v>
      </c>
      <c r="AL98" s="322" t="s">
        <v>102</v>
      </c>
      <c r="AM98" s="322" t="s">
        <v>103</v>
      </c>
      <c r="AN98" s="322" t="s">
        <v>104</v>
      </c>
      <c r="AO98" s="322" t="s">
        <v>105</v>
      </c>
      <c r="AP98" s="322" t="s">
        <v>106</v>
      </c>
      <c r="AQ98" s="323" t="s">
        <v>37</v>
      </c>
    </row>
    <row r="99" spans="1:43" ht="14.95" thickBot="1">
      <c r="A99" s="233"/>
      <c r="B99" s="302" t="s">
        <v>77</v>
      </c>
      <c r="C99" s="693" t="s">
        <v>30</v>
      </c>
      <c r="D99" s="693"/>
      <c r="E99" s="693" t="s">
        <v>31</v>
      </c>
      <c r="F99" s="693"/>
      <c r="G99" s="693" t="s">
        <v>2</v>
      </c>
      <c r="H99" s="693"/>
      <c r="I99" s="693" t="s">
        <v>32</v>
      </c>
      <c r="J99" s="693"/>
      <c r="K99" s="693" t="s">
        <v>33</v>
      </c>
      <c r="L99" s="693"/>
      <c r="M99" s="693" t="s">
        <v>54</v>
      </c>
      <c r="N99" s="693"/>
      <c r="O99" s="693" t="s">
        <v>55</v>
      </c>
      <c r="P99" s="693"/>
      <c r="Q99" s="693" t="s">
        <v>56</v>
      </c>
      <c r="R99" s="693"/>
      <c r="S99" s="693" t="s">
        <v>57</v>
      </c>
      <c r="T99" s="693"/>
      <c r="U99" s="693" t="s">
        <v>58</v>
      </c>
      <c r="V99" s="693"/>
      <c r="W99" s="693" t="s">
        <v>59</v>
      </c>
      <c r="X99" s="693"/>
      <c r="Y99" s="693" t="s">
        <v>60</v>
      </c>
      <c r="Z99" s="693"/>
      <c r="AA99" s="302" t="s">
        <v>16</v>
      </c>
      <c r="AB99" s="234" t="s">
        <v>17</v>
      </c>
      <c r="AC99" s="687"/>
      <c r="AD99" s="324" t="s">
        <v>49</v>
      </c>
      <c r="AE99" s="325">
        <f>SUM(C100,C106)</f>
        <v>413</v>
      </c>
      <c r="AF99" s="326">
        <f>SUM(E100,E106)</f>
        <v>48</v>
      </c>
      <c r="AG99" s="326">
        <f>SUM(G100,G106)</f>
        <v>24</v>
      </c>
      <c r="AH99" s="326">
        <f>SUM(I100,I106)</f>
        <v>142</v>
      </c>
      <c r="AI99" s="326">
        <f>SUM(K100,K106)</f>
        <v>125</v>
      </c>
      <c r="AJ99" s="327">
        <f>SUM(M100,M106)</f>
        <v>0</v>
      </c>
      <c r="AK99" s="327">
        <f>SUM(O100,O106)</f>
        <v>0</v>
      </c>
      <c r="AL99" s="327">
        <f>SUM(Q100,Q106)</f>
        <v>0</v>
      </c>
      <c r="AM99" s="327">
        <f>SUM(S100,S106)</f>
        <v>0</v>
      </c>
      <c r="AN99" s="327">
        <f>SUM(U100,U106)</f>
        <v>0</v>
      </c>
      <c r="AO99" s="327">
        <f>SUM(W100,W106)</f>
        <v>0</v>
      </c>
      <c r="AP99" s="327">
        <f>SUM(Y100,Y106)</f>
        <v>0</v>
      </c>
      <c r="AQ99" s="328">
        <f>SUM(AE99:AP99)</f>
        <v>752</v>
      </c>
    </row>
    <row r="100" spans="1:43">
      <c r="A100" s="689" t="s">
        <v>90</v>
      </c>
      <c r="B100" s="230" t="s">
        <v>49</v>
      </c>
      <c r="C100" s="320">
        <v>413</v>
      </c>
      <c r="D100" s="231">
        <f>C100/$C$104</f>
        <v>3.2160099672948139E-2</v>
      </c>
      <c r="E100" s="320">
        <v>36</v>
      </c>
      <c r="F100" s="231">
        <f>E100/$E$104</f>
        <v>9.2095165003837302E-3</v>
      </c>
      <c r="G100" s="320">
        <v>22</v>
      </c>
      <c r="H100" s="231">
        <f>G100/$G$104</f>
        <v>3.5604466742191294E-3</v>
      </c>
      <c r="I100" s="320">
        <v>83</v>
      </c>
      <c r="J100" s="231">
        <f>I100/$I$104</f>
        <v>1.1647488071849565E-2</v>
      </c>
      <c r="K100" s="320">
        <v>76</v>
      </c>
      <c r="L100" s="231">
        <f>K100/$K$104</f>
        <v>8.3608360836083615E-3</v>
      </c>
      <c r="M100" s="320">
        <v>0</v>
      </c>
      <c r="N100" s="231" t="e">
        <f>M100/$M$104</f>
        <v>#DIV/0!</v>
      </c>
      <c r="O100" s="320">
        <v>0</v>
      </c>
      <c r="P100" s="231" t="e">
        <f>O100/$O$104</f>
        <v>#DIV/0!</v>
      </c>
      <c r="Q100" s="320">
        <v>0</v>
      </c>
      <c r="R100" s="231" t="e">
        <f>Q100/$Q$104</f>
        <v>#DIV/0!</v>
      </c>
      <c r="S100" s="320">
        <v>0</v>
      </c>
      <c r="T100" s="231" t="e">
        <f>S100/$S$104</f>
        <v>#DIV/0!</v>
      </c>
      <c r="U100" s="320">
        <v>0</v>
      </c>
      <c r="V100" s="231" t="e">
        <f>U100/$U104</f>
        <v>#DIV/0!</v>
      </c>
      <c r="W100" s="320">
        <v>0</v>
      </c>
      <c r="X100" s="231" t="e">
        <f>W100/$W104</f>
        <v>#DIV/0!</v>
      </c>
      <c r="Y100" s="320">
        <v>0</v>
      </c>
      <c r="Z100" s="231" t="e">
        <f>Y100/Y104</f>
        <v>#DIV/0!</v>
      </c>
      <c r="AA100" s="232">
        <f>SUM(C100,E100,G100,I100,K100,M100,O100,Q100,S100,U100,W100,Y461)</f>
        <v>630</v>
      </c>
      <c r="AB100" s="232">
        <f>IFERROR(AVERAGE(C100,E100,G100,I100,K100,M100,O100,Q100,S100,U100,W100,Y100),"-")</f>
        <v>52.5</v>
      </c>
      <c r="AC100" s="687"/>
      <c r="AD100" s="324" t="s">
        <v>49</v>
      </c>
      <c r="AE100" s="329">
        <f>AE99/AE107</f>
        <v>3.2160099672948139E-2</v>
      </c>
      <c r="AF100" s="329">
        <f t="shared" ref="AF100:AP100" si="17">AF99/AF107</f>
        <v>1.1934361014420686E-2</v>
      </c>
      <c r="AG100" s="329">
        <f>AG99/AG107</f>
        <v>3.8418440851608771E-3</v>
      </c>
      <c r="AH100" s="329">
        <f t="shared" si="17"/>
        <v>1.741476575913662E-2</v>
      </c>
      <c r="AI100" s="329">
        <f t="shared" ref="AI100:AO100" si="18">AI99/AI107</f>
        <v>1.1442694983522518E-2</v>
      </c>
      <c r="AJ100" s="329" t="e">
        <f t="shared" si="18"/>
        <v>#DIV/0!</v>
      </c>
      <c r="AK100" s="329" t="e">
        <f t="shared" si="18"/>
        <v>#DIV/0!</v>
      </c>
      <c r="AL100" s="329" t="e">
        <f t="shared" si="18"/>
        <v>#DIV/0!</v>
      </c>
      <c r="AM100" s="329" t="e">
        <f t="shared" si="18"/>
        <v>#DIV/0!</v>
      </c>
      <c r="AN100" s="329" t="e">
        <f t="shared" si="18"/>
        <v>#DIV/0!</v>
      </c>
      <c r="AO100" s="329" t="e">
        <f t="shared" si="18"/>
        <v>#DIV/0!</v>
      </c>
      <c r="AP100" s="329" t="e">
        <f t="shared" si="17"/>
        <v>#DIV/0!</v>
      </c>
      <c r="AQ100" s="330">
        <v>1</v>
      </c>
    </row>
    <row r="101" spans="1:43">
      <c r="A101" s="690"/>
      <c r="B101" s="306" t="s">
        <v>50</v>
      </c>
      <c r="C101" s="320">
        <v>642</v>
      </c>
      <c r="D101" s="211">
        <f>C101/$C$104</f>
        <v>4.9992213050926645E-2</v>
      </c>
      <c r="E101" s="320">
        <v>351</v>
      </c>
      <c r="F101" s="231">
        <f>E101/$E$104</f>
        <v>8.9792785878741371E-2</v>
      </c>
      <c r="G101" s="320">
        <v>587</v>
      </c>
      <c r="H101" s="231">
        <f>G101/$G$104</f>
        <v>9.4999190807574047E-2</v>
      </c>
      <c r="I101" s="320">
        <v>833</v>
      </c>
      <c r="J101" s="231">
        <f>I101/$I$104</f>
        <v>0.1168958742632613</v>
      </c>
      <c r="K101" s="320">
        <v>1077</v>
      </c>
      <c r="L101" s="231">
        <f>K101/$K$104</f>
        <v>0.11848184818481848</v>
      </c>
      <c r="M101" s="320">
        <v>0</v>
      </c>
      <c r="N101" s="231" t="e">
        <f>M101/$M$104</f>
        <v>#DIV/0!</v>
      </c>
      <c r="O101" s="320">
        <v>0</v>
      </c>
      <c r="P101" s="231" t="e">
        <f>O101/$O$104</f>
        <v>#DIV/0!</v>
      </c>
      <c r="Q101" s="320">
        <v>0</v>
      </c>
      <c r="R101" s="231" t="e">
        <f>Q101/$Q$104</f>
        <v>#DIV/0!</v>
      </c>
      <c r="S101" s="320">
        <v>0</v>
      </c>
      <c r="T101" s="231" t="e">
        <f>S101/$S$104</f>
        <v>#DIV/0!</v>
      </c>
      <c r="U101" s="320">
        <v>0</v>
      </c>
      <c r="V101" s="231" t="e">
        <f>U101/$U$104</f>
        <v>#DIV/0!</v>
      </c>
      <c r="W101" s="320">
        <v>0</v>
      </c>
      <c r="X101" s="231" t="e">
        <f>W101/$W104</f>
        <v>#DIV/0!</v>
      </c>
      <c r="Y101" s="320">
        <v>0</v>
      </c>
      <c r="Z101" s="231" t="e">
        <f>Y101/Y104</f>
        <v>#DIV/0!</v>
      </c>
      <c r="AA101" s="213">
        <f>SUM(C101,E101,G101,I101,K101,M101,O101,Q101,S101,U101,W101,Y462)</f>
        <v>3490</v>
      </c>
      <c r="AB101" s="213">
        <f>IFERROR(AVERAGE(C101,E101,G101,I101,K101,M101,O101,Q101,S101,U101,W101,Y101),"-")</f>
        <v>290.83333333333331</v>
      </c>
      <c r="AC101" s="687"/>
      <c r="AD101" s="324" t="s">
        <v>50</v>
      </c>
      <c r="AE101" s="326">
        <f>SUM(C101,C107)</f>
        <v>642</v>
      </c>
      <c r="AF101" s="326">
        <f>SUM(E101,E107)</f>
        <v>365</v>
      </c>
      <c r="AG101" s="326">
        <f>SUM(G101,G107)</f>
        <v>613</v>
      </c>
      <c r="AH101" s="326">
        <f>SUM(I101,I107)</f>
        <v>1001</v>
      </c>
      <c r="AI101" s="326">
        <f>SUM(K101,K107)</f>
        <v>1346</v>
      </c>
      <c r="AJ101" s="327">
        <f>SUM(M101,M107)</f>
        <v>0</v>
      </c>
      <c r="AK101" s="327">
        <f>SUM(O101,O107)</f>
        <v>0</v>
      </c>
      <c r="AL101" s="327">
        <f>SUM(Q101,Q107)</f>
        <v>0</v>
      </c>
      <c r="AM101" s="327">
        <f>SUM(S101,S107)</f>
        <v>0</v>
      </c>
      <c r="AN101" s="327">
        <f>SUM(U101,U107)</f>
        <v>0</v>
      </c>
      <c r="AO101" s="327">
        <f>SUM(W101,W107)</f>
        <v>0</v>
      </c>
      <c r="AP101" s="327">
        <f>SUM(Y101,Y107)</f>
        <v>0</v>
      </c>
      <c r="AQ101" s="328">
        <f>SUM(AE101:AP101)</f>
        <v>3967</v>
      </c>
    </row>
    <row r="102" spans="1:43">
      <c r="A102" s="690"/>
      <c r="B102" s="306" t="s">
        <v>51</v>
      </c>
      <c r="C102" s="320">
        <v>764</v>
      </c>
      <c r="D102" s="211">
        <f>C102/$C$104</f>
        <v>5.9492290920417377E-2</v>
      </c>
      <c r="E102" s="320">
        <v>735</v>
      </c>
      <c r="F102" s="231">
        <f>E102/$E$104</f>
        <v>0.18802762854950114</v>
      </c>
      <c r="G102" s="320">
        <v>1042</v>
      </c>
      <c r="H102" s="231">
        <f>G102/$G$104</f>
        <v>0.16863570156983332</v>
      </c>
      <c r="I102" s="320">
        <v>1842</v>
      </c>
      <c r="J102" s="231">
        <f>I102/$I$104</f>
        <v>0.25849003648610719</v>
      </c>
      <c r="K102" s="320">
        <v>2351</v>
      </c>
      <c r="L102" s="231">
        <f>K102/$K$104</f>
        <v>0.25863586358635865</v>
      </c>
      <c r="M102" s="320">
        <v>0</v>
      </c>
      <c r="N102" s="231" t="e">
        <f>M102/$M$104</f>
        <v>#DIV/0!</v>
      </c>
      <c r="O102" s="320">
        <v>0</v>
      </c>
      <c r="P102" s="231" t="e">
        <f>O102/$O$104</f>
        <v>#DIV/0!</v>
      </c>
      <c r="Q102" s="320">
        <v>0</v>
      </c>
      <c r="R102" s="231" t="e">
        <f>Q102/$Q$104</f>
        <v>#DIV/0!</v>
      </c>
      <c r="S102" s="320">
        <v>0</v>
      </c>
      <c r="T102" s="231" t="e">
        <f>S102/$S$104</f>
        <v>#DIV/0!</v>
      </c>
      <c r="U102" s="320">
        <v>0</v>
      </c>
      <c r="V102" s="231" t="e">
        <f>U102/$U$104</f>
        <v>#DIV/0!</v>
      </c>
      <c r="W102" s="320">
        <v>0</v>
      </c>
      <c r="X102" s="231" t="e">
        <f>W102/$W104</f>
        <v>#DIV/0!</v>
      </c>
      <c r="Y102" s="320">
        <v>0</v>
      </c>
      <c r="Z102" s="231" t="e">
        <f>Y102/Y104</f>
        <v>#DIV/0!</v>
      </c>
      <c r="AA102" s="213">
        <f>SUM(C102,E102,G102,I102,K102,M102,O102,Q102,S102,U102,W102,Y463)</f>
        <v>6734</v>
      </c>
      <c r="AB102" s="213">
        <f>IFERROR(AVERAGE(C102,E102,G102,I102,K102,M102,O102,Q102,S102,U102,W102,Y102),"-")</f>
        <v>561.16666666666663</v>
      </c>
      <c r="AC102" s="687"/>
      <c r="AD102" s="324" t="s">
        <v>50</v>
      </c>
      <c r="AE102" s="331">
        <f>AE101/AE107</f>
        <v>4.9992213050926645E-2</v>
      </c>
      <c r="AF102" s="331">
        <f t="shared" ref="AF102:AP102" si="19">AF101/AF107</f>
        <v>9.075087021382397E-2</v>
      </c>
      <c r="AG102" s="331">
        <f t="shared" si="19"/>
        <v>9.8127101008484069E-2</v>
      </c>
      <c r="AH102" s="331">
        <f t="shared" si="19"/>
        <v>0.12276183468236448</v>
      </c>
      <c r="AI102" s="331">
        <f>AI101/AI107</f>
        <v>0.12321493958257049</v>
      </c>
      <c r="AJ102" s="331" t="e">
        <f>AJ101/AJ107</f>
        <v>#DIV/0!</v>
      </c>
      <c r="AK102" s="331" t="e">
        <f>AK101/AK107</f>
        <v>#DIV/0!</v>
      </c>
      <c r="AL102" s="331" t="e">
        <f t="shared" si="19"/>
        <v>#DIV/0!</v>
      </c>
      <c r="AM102" s="331" t="e">
        <f>AM101/AM107</f>
        <v>#DIV/0!</v>
      </c>
      <c r="AN102" s="331" t="e">
        <f>AN101/AN107</f>
        <v>#DIV/0!</v>
      </c>
      <c r="AO102" s="331" t="e">
        <f t="shared" si="19"/>
        <v>#DIV/0!</v>
      </c>
      <c r="AP102" s="331" t="e">
        <f t="shared" si="19"/>
        <v>#DIV/0!</v>
      </c>
      <c r="AQ102" s="330">
        <v>1</v>
      </c>
    </row>
    <row r="103" spans="1:43" ht="14.95" thickBot="1">
      <c r="A103" s="690"/>
      <c r="B103" s="235" t="s">
        <v>52</v>
      </c>
      <c r="C103" s="320">
        <v>11023</v>
      </c>
      <c r="D103" s="236">
        <f>C103/$C$104</f>
        <v>0.85835539635570779</v>
      </c>
      <c r="E103" s="320">
        <v>2787</v>
      </c>
      <c r="F103" s="231">
        <f>E103/$E$104</f>
        <v>0.71297006907137372</v>
      </c>
      <c r="G103" s="320">
        <v>4528</v>
      </c>
      <c r="H103" s="231">
        <f>G103/$G$104</f>
        <v>0.73280466094837349</v>
      </c>
      <c r="I103" s="320">
        <v>4368</v>
      </c>
      <c r="J103" s="231">
        <f>I103/$I$104</f>
        <v>0.61296660117878188</v>
      </c>
      <c r="K103" s="320">
        <v>5586</v>
      </c>
      <c r="L103" s="231">
        <f>K103/$K$104</f>
        <v>0.61452145214521448</v>
      </c>
      <c r="M103" s="320">
        <v>0</v>
      </c>
      <c r="N103" s="231" t="e">
        <f>M103/$M$104</f>
        <v>#DIV/0!</v>
      </c>
      <c r="O103" s="320">
        <v>0</v>
      </c>
      <c r="P103" s="231" t="e">
        <f>O103/$O$104</f>
        <v>#DIV/0!</v>
      </c>
      <c r="Q103" s="320">
        <v>0</v>
      </c>
      <c r="R103" s="231" t="e">
        <f>Q103/$Q$104</f>
        <v>#DIV/0!</v>
      </c>
      <c r="S103" s="320">
        <v>0</v>
      </c>
      <c r="T103" s="231" t="e">
        <f>S103/$S$104</f>
        <v>#DIV/0!</v>
      </c>
      <c r="U103" s="320">
        <v>0</v>
      </c>
      <c r="V103" s="231" t="e">
        <f>U103/$U$104</f>
        <v>#DIV/0!</v>
      </c>
      <c r="W103" s="320">
        <v>0</v>
      </c>
      <c r="X103" s="231" t="e">
        <f>W103/$W104</f>
        <v>#DIV/0!</v>
      </c>
      <c r="Y103" s="320">
        <v>0</v>
      </c>
      <c r="Z103" s="231" t="e">
        <f>Y103/Y104</f>
        <v>#DIV/0!</v>
      </c>
      <c r="AA103" s="224">
        <f>SUM(C103,E103,G103,I103,K103,M103,O103,Q103,S103,U103,W103,Y464)</f>
        <v>28292</v>
      </c>
      <c r="AB103" s="224">
        <f>IFERROR(AVERAGE(C103,E103,G103,I103,K103,M103,O103,Q103,S103,U103,W103,Y103),"-")</f>
        <v>2357.6666666666665</v>
      </c>
      <c r="AC103" s="687"/>
      <c r="AD103" s="324" t="s">
        <v>51</v>
      </c>
      <c r="AE103" s="326">
        <f>SUM(C102,C108)</f>
        <v>764</v>
      </c>
      <c r="AF103" s="326">
        <f>SUM(E102,E108)</f>
        <v>753</v>
      </c>
      <c r="AG103" s="326">
        <f>SUM(G102,G108)</f>
        <v>1059</v>
      </c>
      <c r="AH103" s="326">
        <f>SUM(I102,I108)</f>
        <v>2425</v>
      </c>
      <c r="AI103" s="326">
        <f>SUM(K102,K108)</f>
        <v>3644</v>
      </c>
      <c r="AJ103" s="327">
        <f>SUM(M102,M108)</f>
        <v>0</v>
      </c>
      <c r="AK103" s="327">
        <f>SUM(O102,O108)</f>
        <v>0</v>
      </c>
      <c r="AL103" s="327">
        <f>SUM(Q102,Q108)</f>
        <v>0</v>
      </c>
      <c r="AM103" s="327">
        <f>SUM(S102,S108)</f>
        <v>0</v>
      </c>
      <c r="AN103" s="327">
        <f>SUM(U102,U108)</f>
        <v>0</v>
      </c>
      <c r="AO103" s="327">
        <f>SUM(W102,W108)</f>
        <v>0</v>
      </c>
      <c r="AP103" s="327">
        <f>SUM(Y102,Y108)</f>
        <v>0</v>
      </c>
      <c r="AQ103" s="328">
        <f>SUM(AE103:AP103)</f>
        <v>8645</v>
      </c>
    </row>
    <row r="104" spans="1:43" ht="14.95" thickBot="1">
      <c r="A104" s="691"/>
      <c r="B104" s="237" t="s">
        <v>37</v>
      </c>
      <c r="C104" s="238">
        <f t="shared" ref="C104:AA104" si="20">SUM(C100:C103)</f>
        <v>12842</v>
      </c>
      <c r="D104" s="239">
        <f t="shared" si="20"/>
        <v>1</v>
      </c>
      <c r="E104" s="238">
        <f t="shared" si="20"/>
        <v>3909</v>
      </c>
      <c r="F104" s="239">
        <f t="shared" si="20"/>
        <v>1</v>
      </c>
      <c r="G104" s="238">
        <f t="shared" si="20"/>
        <v>6179</v>
      </c>
      <c r="H104" s="239">
        <f t="shared" si="20"/>
        <v>1</v>
      </c>
      <c r="I104" s="238">
        <f t="shared" si="20"/>
        <v>7126</v>
      </c>
      <c r="J104" s="239">
        <f t="shared" si="20"/>
        <v>1</v>
      </c>
      <c r="K104" s="238">
        <f t="shared" si="20"/>
        <v>9090</v>
      </c>
      <c r="L104" s="239">
        <f>SUM(L100:L103)</f>
        <v>1</v>
      </c>
      <c r="M104" s="238">
        <f t="shared" si="20"/>
        <v>0</v>
      </c>
      <c r="N104" s="239" t="e">
        <f t="shared" si="20"/>
        <v>#DIV/0!</v>
      </c>
      <c r="O104" s="238">
        <f t="shared" si="20"/>
        <v>0</v>
      </c>
      <c r="P104" s="239" t="e">
        <f t="shared" si="20"/>
        <v>#DIV/0!</v>
      </c>
      <c r="Q104" s="238">
        <f t="shared" si="20"/>
        <v>0</v>
      </c>
      <c r="R104" s="239" t="e">
        <f t="shared" si="20"/>
        <v>#DIV/0!</v>
      </c>
      <c r="S104" s="238">
        <f t="shared" si="20"/>
        <v>0</v>
      </c>
      <c r="T104" s="239" t="e">
        <f>SUM(T100:T103)</f>
        <v>#DIV/0!</v>
      </c>
      <c r="U104" s="241">
        <f>SUM(U100:U103)</f>
        <v>0</v>
      </c>
      <c r="V104" s="239" t="e">
        <f t="shared" si="20"/>
        <v>#DIV/0!</v>
      </c>
      <c r="W104" s="241">
        <f t="shared" si="20"/>
        <v>0</v>
      </c>
      <c r="X104" s="239" t="e">
        <f>SUM(X100:X103)</f>
        <v>#DIV/0!</v>
      </c>
      <c r="Y104" s="241">
        <f t="shared" si="20"/>
        <v>0</v>
      </c>
      <c r="Z104" s="231" t="e">
        <f>SUM(Z100:Z103)</f>
        <v>#DIV/0!</v>
      </c>
      <c r="AA104" s="238">
        <f t="shared" si="20"/>
        <v>39146</v>
      </c>
      <c r="AB104" s="240">
        <f>IFERROR(AVERAGE(C104,E104,G104,I104,K104,M104,O104,Q104,S104,U104,W104,Y104),"-")</f>
        <v>3262.1666666666665</v>
      </c>
      <c r="AC104" s="687"/>
      <c r="AD104" s="324" t="s">
        <v>51</v>
      </c>
      <c r="AE104" s="331">
        <f>AE103/AE107</f>
        <v>5.9492290920417377E-2</v>
      </c>
      <c r="AF104" s="331">
        <f t="shared" ref="AF104:AP104" si="21">AF103/AF107</f>
        <v>0.18722028841372451</v>
      </c>
      <c r="AG104" s="331">
        <f t="shared" si="21"/>
        <v>0.16952137025772371</v>
      </c>
      <c r="AH104" s="331">
        <f t="shared" si="21"/>
        <v>0.29740004905567818</v>
      </c>
      <c r="AI104" s="331">
        <f>AI103/AI107</f>
        <v>0.33357744415964846</v>
      </c>
      <c r="AJ104" s="331" t="e">
        <f t="shared" si="21"/>
        <v>#DIV/0!</v>
      </c>
      <c r="AK104" s="331" t="e">
        <f>AK103/AK107</f>
        <v>#DIV/0!</v>
      </c>
      <c r="AL104" s="331" t="e">
        <f>AL103/AL107</f>
        <v>#DIV/0!</v>
      </c>
      <c r="AM104" s="331" t="e">
        <f>AM103/AM107</f>
        <v>#DIV/0!</v>
      </c>
      <c r="AN104" s="331" t="e">
        <f>AN103/AN107</f>
        <v>#DIV/0!</v>
      </c>
      <c r="AO104" s="331" t="e">
        <f t="shared" si="21"/>
        <v>#DIV/0!</v>
      </c>
      <c r="AP104" s="331" t="e">
        <f t="shared" si="21"/>
        <v>#DIV/0!</v>
      </c>
      <c r="AQ104" s="330">
        <v>1</v>
      </c>
    </row>
    <row r="105" spans="1:43">
      <c r="A105" s="215"/>
      <c r="B105" s="301" t="s">
        <v>77</v>
      </c>
      <c r="C105" s="692" t="s">
        <v>30</v>
      </c>
      <c r="D105" s="692"/>
      <c r="E105" s="692" t="s">
        <v>31</v>
      </c>
      <c r="F105" s="692"/>
      <c r="G105" s="692" t="s">
        <v>2</v>
      </c>
      <c r="H105" s="692"/>
      <c r="I105" s="692" t="s">
        <v>32</v>
      </c>
      <c r="J105" s="692"/>
      <c r="K105" s="692" t="s">
        <v>33</v>
      </c>
      <c r="L105" s="692"/>
      <c r="M105" s="692" t="s">
        <v>54</v>
      </c>
      <c r="N105" s="692"/>
      <c r="O105" s="692" t="s">
        <v>55</v>
      </c>
      <c r="P105" s="692"/>
      <c r="Q105" s="692" t="s">
        <v>56</v>
      </c>
      <c r="R105" s="692"/>
      <c r="S105" s="692" t="s">
        <v>57</v>
      </c>
      <c r="T105" s="692"/>
      <c r="U105" s="692" t="s">
        <v>58</v>
      </c>
      <c r="V105" s="692"/>
      <c r="W105" s="692" t="s">
        <v>59</v>
      </c>
      <c r="X105" s="692"/>
      <c r="Y105" s="692" t="s">
        <v>60</v>
      </c>
      <c r="Z105" s="692"/>
      <c r="AA105" s="301" t="s">
        <v>16</v>
      </c>
      <c r="AB105" s="301" t="s">
        <v>17</v>
      </c>
      <c r="AC105" s="687"/>
      <c r="AD105" s="324" t="s">
        <v>52</v>
      </c>
      <c r="AE105" s="326">
        <f>SUM(C103,C109)</f>
        <v>11023</v>
      </c>
      <c r="AF105" s="326">
        <f>SUM(E103,E109)</f>
        <v>2856</v>
      </c>
      <c r="AG105" s="326">
        <f>SUM(G103,G109)</f>
        <v>4551</v>
      </c>
      <c r="AH105" s="326">
        <f>SUM(I103,I109)</f>
        <v>4586</v>
      </c>
      <c r="AI105" s="326">
        <f>SUM(K103,K109)</f>
        <v>5809</v>
      </c>
      <c r="AJ105" s="327">
        <f>SUM(M103,M109)</f>
        <v>0</v>
      </c>
      <c r="AK105" s="327">
        <f>SUM(O103,O109)</f>
        <v>0</v>
      </c>
      <c r="AL105" s="327">
        <f>SUM(Q103,Q109)</f>
        <v>0</v>
      </c>
      <c r="AM105" s="327">
        <f>SUM(S103,S109)</f>
        <v>0</v>
      </c>
      <c r="AN105" s="327">
        <f>SUM(U103,U109)</f>
        <v>0</v>
      </c>
      <c r="AO105" s="327">
        <f>SUM(W103,W109)</f>
        <v>0</v>
      </c>
      <c r="AP105" s="327">
        <f>SUM(Y103,Y109)</f>
        <v>0</v>
      </c>
      <c r="AQ105" s="328">
        <f>SUM(AE105:AP105)</f>
        <v>28825</v>
      </c>
    </row>
    <row r="106" spans="1:43">
      <c r="A106" s="694" t="s">
        <v>91</v>
      </c>
      <c r="B106" s="306" t="s">
        <v>49</v>
      </c>
      <c r="C106" s="320">
        <v>0</v>
      </c>
      <c r="D106" s="211" t="e">
        <f>C106/$C$110</f>
        <v>#DIV/0!</v>
      </c>
      <c r="E106" s="320">
        <v>12</v>
      </c>
      <c r="F106" s="231">
        <f>E106/$E$104</f>
        <v>3.0698388334612432E-3</v>
      </c>
      <c r="G106" s="320">
        <v>2</v>
      </c>
      <c r="H106" s="231">
        <f>G106/$G$110</f>
        <v>2.9411764705882353E-2</v>
      </c>
      <c r="I106" s="320">
        <v>59</v>
      </c>
      <c r="J106" s="231">
        <f>I106/$I$110</f>
        <v>5.7392996108949414E-2</v>
      </c>
      <c r="K106" s="210">
        <v>49</v>
      </c>
      <c r="L106" s="231">
        <f>K106/$K$110</f>
        <v>2.6717557251908396E-2</v>
      </c>
      <c r="M106" s="210">
        <v>0</v>
      </c>
      <c r="N106" s="231" t="e">
        <f>M106/$M$110</f>
        <v>#DIV/0!</v>
      </c>
      <c r="O106" s="210">
        <v>0</v>
      </c>
      <c r="P106" s="231" t="e">
        <f>O106/$O$110</f>
        <v>#DIV/0!</v>
      </c>
      <c r="Q106" s="210">
        <v>0</v>
      </c>
      <c r="R106" s="231" t="e">
        <f>Q106/$Q$104</f>
        <v>#DIV/0!</v>
      </c>
      <c r="S106" s="210">
        <v>0</v>
      </c>
      <c r="T106" s="231" t="e">
        <f>S106/$S$110</f>
        <v>#DIV/0!</v>
      </c>
      <c r="U106" s="210">
        <v>0</v>
      </c>
      <c r="V106" s="211" t="e">
        <f>U106/$U$110</f>
        <v>#DIV/0!</v>
      </c>
      <c r="W106" s="210">
        <v>0</v>
      </c>
      <c r="X106" s="231" t="e">
        <f>W106/$W110</f>
        <v>#DIV/0!</v>
      </c>
      <c r="Y106" s="210">
        <v>0</v>
      </c>
      <c r="Z106" s="231" t="e">
        <f>Y106/Y110</f>
        <v>#DIV/0!</v>
      </c>
      <c r="AA106" s="213">
        <f>SUM(C106,E106,G106,I106,K106,M106,O106,Q106,S106,U106,W106,Y106)</f>
        <v>122</v>
      </c>
      <c r="AB106" s="213">
        <f>IFERROR(AVERAGE(C106,E106,G106,I106,K106,M106,O106,Q106,S106,U106,W106,Y106),"-")</f>
        <v>10.166666666666666</v>
      </c>
      <c r="AC106" s="687"/>
      <c r="AD106" s="324" t="s">
        <v>52</v>
      </c>
      <c r="AE106" s="331">
        <f>AE105/AE107</f>
        <v>0.85835539635570779</v>
      </c>
      <c r="AF106" s="331">
        <f t="shared" ref="AF106:AP106" si="22">AF105/AF107</f>
        <v>0.7100944803580308</v>
      </c>
      <c r="AG106" s="331">
        <f t="shared" si="22"/>
        <v>0.72850968464863131</v>
      </c>
      <c r="AH106" s="331">
        <f t="shared" si="22"/>
        <v>0.56242335050282066</v>
      </c>
      <c r="AI106" s="331">
        <f>AI105/AI107</f>
        <v>0.53176492127425856</v>
      </c>
      <c r="AJ106" s="331" t="e">
        <f>AJ105/AJ107</f>
        <v>#DIV/0!</v>
      </c>
      <c r="AK106" s="331" t="e">
        <f t="shared" si="22"/>
        <v>#DIV/0!</v>
      </c>
      <c r="AL106" s="331" t="e">
        <f>AL105/AL107</f>
        <v>#DIV/0!</v>
      </c>
      <c r="AM106" s="331" t="e">
        <f>AM105/AM107</f>
        <v>#DIV/0!</v>
      </c>
      <c r="AN106" s="331" t="e">
        <f>AN105/AN107</f>
        <v>#DIV/0!</v>
      </c>
      <c r="AO106" s="331" t="e">
        <f t="shared" si="22"/>
        <v>#DIV/0!</v>
      </c>
      <c r="AP106" s="331" t="e">
        <f t="shared" si="22"/>
        <v>#DIV/0!</v>
      </c>
      <c r="AQ106" s="330">
        <v>1</v>
      </c>
    </row>
    <row r="107" spans="1:43">
      <c r="A107" s="694"/>
      <c r="B107" s="306" t="s">
        <v>50</v>
      </c>
      <c r="C107" s="320">
        <v>0</v>
      </c>
      <c r="D107" s="211" t="e">
        <f>C107/$C$110</f>
        <v>#DIV/0!</v>
      </c>
      <c r="E107" s="320">
        <v>14</v>
      </c>
      <c r="F107" s="231">
        <f>E107/$E$104</f>
        <v>3.581478639038117E-3</v>
      </c>
      <c r="G107" s="320">
        <v>26</v>
      </c>
      <c r="H107" s="231">
        <f>G107/$G$110</f>
        <v>0.38235294117647056</v>
      </c>
      <c r="I107" s="320">
        <v>168</v>
      </c>
      <c r="J107" s="231">
        <f>I107/$I$110</f>
        <v>0.16342412451361868</v>
      </c>
      <c r="K107" s="210">
        <v>269</v>
      </c>
      <c r="L107" s="231">
        <f>K107/$K$110</f>
        <v>0.14667393675027263</v>
      </c>
      <c r="M107" s="210">
        <v>0</v>
      </c>
      <c r="N107" s="231" t="e">
        <f>M107/$M$110</f>
        <v>#DIV/0!</v>
      </c>
      <c r="O107" s="210">
        <v>0</v>
      </c>
      <c r="P107" s="231" t="e">
        <f>O107/$O$110</f>
        <v>#DIV/0!</v>
      </c>
      <c r="Q107" s="210">
        <v>0</v>
      </c>
      <c r="R107" s="231" t="e">
        <f>Q107/$Q$104</f>
        <v>#DIV/0!</v>
      </c>
      <c r="S107" s="210">
        <v>0</v>
      </c>
      <c r="T107" s="231" t="e">
        <f>S107/$S$110</f>
        <v>#DIV/0!</v>
      </c>
      <c r="U107" s="210">
        <v>0</v>
      </c>
      <c r="V107" s="211" t="e">
        <f>U107/$U$110</f>
        <v>#DIV/0!</v>
      </c>
      <c r="W107" s="210">
        <v>0</v>
      </c>
      <c r="X107" s="231" t="e">
        <f>W107/$W110</f>
        <v>#DIV/0!</v>
      </c>
      <c r="Y107" s="210">
        <v>0</v>
      </c>
      <c r="Z107" s="231" t="e">
        <f>Y107/Y110</f>
        <v>#DIV/0!</v>
      </c>
      <c r="AA107" s="213">
        <f>SUM(C107,E107,G107,I107,K107,M107,O107,Q107,S107,U107,W107,Y107)</f>
        <v>477</v>
      </c>
      <c r="AB107" s="213">
        <f>IFERROR(AVERAGE(C107,E107,G107,I107,K107,M107,O107,Q107,S107,U107,W107,Y107),"-")</f>
        <v>39.75</v>
      </c>
      <c r="AC107" s="687"/>
      <c r="AD107" s="338" t="s">
        <v>37</v>
      </c>
      <c r="AE107" s="339">
        <f>SUM(AE99,AE101,AE103,AE105)</f>
        <v>12842</v>
      </c>
      <c r="AF107" s="339">
        <f t="shared" ref="AF107:AO107" si="23">SUM(AF99,AF101,AF103,AF105)</f>
        <v>4022</v>
      </c>
      <c r="AG107" s="339">
        <f t="shared" si="23"/>
        <v>6247</v>
      </c>
      <c r="AH107" s="339">
        <f>SUM(AH99,AH101,AH103,AH105)</f>
        <v>8154</v>
      </c>
      <c r="AI107" s="339">
        <f t="shared" si="23"/>
        <v>10924</v>
      </c>
      <c r="AJ107" s="339">
        <f t="shared" si="23"/>
        <v>0</v>
      </c>
      <c r="AK107" s="339">
        <f>SUM(AK99,AK101,AK103,AK105)</f>
        <v>0</v>
      </c>
      <c r="AL107" s="339">
        <f>SUM(AL99,AL101,AL103,AL105)</f>
        <v>0</v>
      </c>
      <c r="AM107" s="339">
        <f t="shared" si="23"/>
        <v>0</v>
      </c>
      <c r="AN107" s="339">
        <f>SUM(AN99,AN101,AN103,AN105)</f>
        <v>0</v>
      </c>
      <c r="AO107" s="339">
        <f t="shared" si="23"/>
        <v>0</v>
      </c>
      <c r="AP107" s="339">
        <f>SUM(AP99,AP101,AP103,AP105)</f>
        <v>0</v>
      </c>
      <c r="AQ107" s="339">
        <f>SUM(AE107:AP107)</f>
        <v>42189</v>
      </c>
    </row>
    <row r="108" spans="1:43">
      <c r="A108" s="694"/>
      <c r="B108" s="306" t="s">
        <v>51</v>
      </c>
      <c r="C108" s="320">
        <v>0</v>
      </c>
      <c r="D108" s="211" t="e">
        <f>C108/$C$110</f>
        <v>#DIV/0!</v>
      </c>
      <c r="E108" s="320">
        <v>18</v>
      </c>
      <c r="F108" s="231">
        <f>E108/$E$104</f>
        <v>4.6047582501918651E-3</v>
      </c>
      <c r="G108" s="320">
        <v>17</v>
      </c>
      <c r="H108" s="231">
        <f>G108/$G$110</f>
        <v>0.25</v>
      </c>
      <c r="I108" s="320">
        <v>583</v>
      </c>
      <c r="J108" s="231">
        <f>I108/$I$110</f>
        <v>0.56712062256809337</v>
      </c>
      <c r="K108" s="210">
        <v>1293</v>
      </c>
      <c r="L108" s="231">
        <f>K108/$K$110</f>
        <v>0.70501635768811344</v>
      </c>
      <c r="M108" s="210">
        <v>0</v>
      </c>
      <c r="N108" s="231" t="e">
        <f>M108/$M$110</f>
        <v>#DIV/0!</v>
      </c>
      <c r="O108" s="210">
        <v>0</v>
      </c>
      <c r="P108" s="231" t="e">
        <f>O108/$O$110</f>
        <v>#DIV/0!</v>
      </c>
      <c r="Q108" s="210">
        <v>0</v>
      </c>
      <c r="R108" s="231" t="e">
        <f>Q108/$Q$104</f>
        <v>#DIV/0!</v>
      </c>
      <c r="S108" s="210">
        <v>0</v>
      </c>
      <c r="T108" s="231" t="e">
        <f>S108/$S$110</f>
        <v>#DIV/0!</v>
      </c>
      <c r="U108" s="210">
        <v>0</v>
      </c>
      <c r="V108" s="211" t="e">
        <f>U108/$U$110</f>
        <v>#DIV/0!</v>
      </c>
      <c r="W108" s="210">
        <v>0</v>
      </c>
      <c r="X108" s="231" t="e">
        <f>W108/$W110</f>
        <v>#DIV/0!</v>
      </c>
      <c r="Y108" s="210">
        <v>0</v>
      </c>
      <c r="Z108" s="231" t="e">
        <f>Y108/Y110</f>
        <v>#DIV/0!</v>
      </c>
      <c r="AA108" s="213">
        <f>SUM(C108,E108,G108,I108,K108,M108,O108,Q108,S108,U108,W108,Y108)</f>
        <v>1911</v>
      </c>
      <c r="AB108" s="213">
        <f>IFERROR(AVERAGE(C108,E108,G108,I108,K108,M108,O108,Q108,S108,U108,W108,Y108),"-")</f>
        <v>159.25</v>
      </c>
      <c r="AC108" s="688"/>
      <c r="AD108" s="323" t="s">
        <v>198</v>
      </c>
      <c r="AE108" s="340">
        <f>SUM(AE100,AE102,AE104,AE106)</f>
        <v>1</v>
      </c>
      <c r="AF108" s="340">
        <f t="shared" ref="AF108:AP108" si="24">SUM(AF100,AF102,AF104,AF106)</f>
        <v>1</v>
      </c>
      <c r="AG108" s="340">
        <f t="shared" si="24"/>
        <v>1</v>
      </c>
      <c r="AH108" s="340">
        <f t="shared" si="24"/>
        <v>1</v>
      </c>
      <c r="AI108" s="340">
        <f t="shared" si="24"/>
        <v>1</v>
      </c>
      <c r="AJ108" s="340" t="e">
        <f t="shared" si="24"/>
        <v>#DIV/0!</v>
      </c>
      <c r="AK108" s="340" t="e">
        <f t="shared" si="24"/>
        <v>#DIV/0!</v>
      </c>
      <c r="AL108" s="340" t="e">
        <f t="shared" si="24"/>
        <v>#DIV/0!</v>
      </c>
      <c r="AM108" s="340" t="e">
        <f t="shared" si="24"/>
        <v>#DIV/0!</v>
      </c>
      <c r="AN108" s="340" t="e">
        <f t="shared" si="24"/>
        <v>#DIV/0!</v>
      </c>
      <c r="AO108" s="340" t="e">
        <f t="shared" si="24"/>
        <v>#DIV/0!</v>
      </c>
      <c r="AP108" s="340" t="e">
        <f t="shared" si="24"/>
        <v>#DIV/0!</v>
      </c>
      <c r="AQ108" s="335"/>
    </row>
    <row r="109" spans="1:43" ht="14.95" thickBot="1">
      <c r="A109" s="694"/>
      <c r="B109" s="235" t="s">
        <v>52</v>
      </c>
      <c r="C109" s="320">
        <v>0</v>
      </c>
      <c r="D109" s="236" t="e">
        <f>C109/$C$110</f>
        <v>#DIV/0!</v>
      </c>
      <c r="E109" s="320">
        <v>69</v>
      </c>
      <c r="F109" s="231">
        <f>E109/$E$104</f>
        <v>1.7651573292402148E-2</v>
      </c>
      <c r="G109" s="320">
        <v>23</v>
      </c>
      <c r="H109" s="231">
        <f>G109/$G$110</f>
        <v>0.33823529411764708</v>
      </c>
      <c r="I109" s="320">
        <v>218</v>
      </c>
      <c r="J109" s="231">
        <f>I109/$I$110</f>
        <v>0.21206225680933852</v>
      </c>
      <c r="K109" s="210">
        <v>223</v>
      </c>
      <c r="L109" s="231">
        <f>K109/$K$110</f>
        <v>0.12159214830970556</v>
      </c>
      <c r="M109" s="210">
        <v>0</v>
      </c>
      <c r="N109" s="231" t="e">
        <f>M109/$M$110</f>
        <v>#DIV/0!</v>
      </c>
      <c r="O109" s="210">
        <v>0</v>
      </c>
      <c r="P109" s="231" t="e">
        <f>O109/$O$110</f>
        <v>#DIV/0!</v>
      </c>
      <c r="Q109" s="210">
        <v>0</v>
      </c>
      <c r="R109" s="231" t="e">
        <f>Q109/$Q$104</f>
        <v>#DIV/0!</v>
      </c>
      <c r="S109" s="210">
        <v>0</v>
      </c>
      <c r="T109" s="231" t="e">
        <f>S109/$S$110</f>
        <v>#DIV/0!</v>
      </c>
      <c r="U109" s="210">
        <v>0</v>
      </c>
      <c r="V109" s="211" t="e">
        <f>U109/$U$110</f>
        <v>#DIV/0!</v>
      </c>
      <c r="W109" s="210">
        <v>0</v>
      </c>
      <c r="X109" s="231" t="e">
        <f>W109/$W110</f>
        <v>#DIV/0!</v>
      </c>
      <c r="Y109" s="210">
        <v>0</v>
      </c>
      <c r="Z109" s="231" t="e">
        <f>Y109/Y110</f>
        <v>#DIV/0!</v>
      </c>
      <c r="AA109" s="224">
        <f>SUM(C109,E109,G109,I109,K109,M109,O109,Q109,S109,U109,W109,Y109)</f>
        <v>533</v>
      </c>
      <c r="AB109" s="224">
        <f>IFERROR(AVERAGE(C109,E109,G109,I109,K109,M109,O109,Q109,S109,U109,W109,Y109),"-")</f>
        <v>44.416666666666664</v>
      </c>
    </row>
    <row r="110" spans="1:43" ht="14.95" thickBot="1">
      <c r="A110" s="695"/>
      <c r="B110" s="242" t="s">
        <v>37</v>
      </c>
      <c r="C110" s="243">
        <f>SUM(C106:C109)</f>
        <v>0</v>
      </c>
      <c r="D110" s="244" t="e">
        <f t="shared" ref="D110:Z110" si="25">SUM(D106:D109)</f>
        <v>#DIV/0!</v>
      </c>
      <c r="E110" s="243">
        <f t="shared" si="25"/>
        <v>113</v>
      </c>
      <c r="F110" s="244">
        <f t="shared" si="25"/>
        <v>2.8907649015093372E-2</v>
      </c>
      <c r="G110" s="243">
        <f t="shared" si="25"/>
        <v>68</v>
      </c>
      <c r="H110" s="244">
        <f t="shared" si="25"/>
        <v>1</v>
      </c>
      <c r="I110" s="243">
        <f t="shared" si="25"/>
        <v>1028</v>
      </c>
      <c r="J110" s="244">
        <f t="shared" si="25"/>
        <v>1</v>
      </c>
      <c r="K110" s="243">
        <f t="shared" si="25"/>
        <v>1834</v>
      </c>
      <c r="L110" s="244">
        <f t="shared" si="25"/>
        <v>1</v>
      </c>
      <c r="M110" s="243">
        <f t="shared" si="25"/>
        <v>0</v>
      </c>
      <c r="N110" s="244" t="e">
        <f t="shared" si="25"/>
        <v>#DIV/0!</v>
      </c>
      <c r="O110" s="238">
        <f t="shared" si="25"/>
        <v>0</v>
      </c>
      <c r="P110" s="239" t="e">
        <f t="shared" si="25"/>
        <v>#DIV/0!</v>
      </c>
      <c r="Q110" s="238">
        <f t="shared" si="25"/>
        <v>0</v>
      </c>
      <c r="R110" s="239" t="e">
        <f t="shared" si="25"/>
        <v>#DIV/0!</v>
      </c>
      <c r="S110" s="238">
        <f t="shared" si="25"/>
        <v>0</v>
      </c>
      <c r="T110" s="239" t="e">
        <f t="shared" si="25"/>
        <v>#DIV/0!</v>
      </c>
      <c r="U110" s="238">
        <f t="shared" si="25"/>
        <v>0</v>
      </c>
      <c r="V110" s="239" t="e">
        <f t="shared" si="25"/>
        <v>#DIV/0!</v>
      </c>
      <c r="W110" s="238">
        <f>SUM(W106:W109)</f>
        <v>0</v>
      </c>
      <c r="X110" s="239" t="e">
        <f t="shared" si="25"/>
        <v>#DIV/0!</v>
      </c>
      <c r="Y110" s="238">
        <f t="shared" si="25"/>
        <v>0</v>
      </c>
      <c r="Z110" s="239" t="e">
        <f t="shared" si="25"/>
        <v>#DIV/0!</v>
      </c>
      <c r="AA110" s="238">
        <f>SUM(AA106:AA109)</f>
        <v>3043</v>
      </c>
      <c r="AB110" s="240">
        <f>IFERROR(AVERAGE(C110,E110,G110,I110,K110,M110,O110,Q110,S110,U110,W110,Y110),"-")</f>
        <v>253.58333333333334</v>
      </c>
    </row>
    <row r="111" spans="1:43" ht="26.5" thickBot="1">
      <c r="A111" s="714" t="s">
        <v>181</v>
      </c>
      <c r="B111" s="715"/>
      <c r="C111" s="715"/>
      <c r="D111" s="715"/>
      <c r="E111" s="715"/>
      <c r="F111" s="715"/>
      <c r="G111" s="715"/>
      <c r="H111" s="715"/>
      <c r="I111" s="715"/>
      <c r="J111" s="715"/>
      <c r="K111" s="715"/>
      <c r="L111" s="715"/>
      <c r="M111" s="715"/>
      <c r="N111" s="716"/>
      <c r="O111" s="205"/>
      <c r="P111" s="205"/>
      <c r="AC111" s="336" t="s">
        <v>77</v>
      </c>
      <c r="AD111" s="342" t="s">
        <v>61</v>
      </c>
      <c r="AE111" s="342" t="s">
        <v>62</v>
      </c>
      <c r="AF111" s="342" t="s">
        <v>63</v>
      </c>
      <c r="AG111" s="342" t="s">
        <v>64</v>
      </c>
      <c r="AH111" s="342" t="s">
        <v>65</v>
      </c>
      <c r="AI111" s="342" t="s">
        <v>66</v>
      </c>
      <c r="AJ111" s="342" t="s">
        <v>95</v>
      </c>
      <c r="AK111" s="342" t="s">
        <v>102</v>
      </c>
      <c r="AL111" s="342" t="s">
        <v>103</v>
      </c>
      <c r="AM111" s="342" t="s">
        <v>104</v>
      </c>
      <c r="AN111" s="342" t="s">
        <v>105</v>
      </c>
      <c r="AO111" s="342" t="s">
        <v>106</v>
      </c>
      <c r="AP111" s="342"/>
    </row>
    <row r="112" spans="1:43">
      <c r="A112" s="692" t="s">
        <v>77</v>
      </c>
      <c r="B112" s="692"/>
      <c r="C112" s="301" t="s">
        <v>129</v>
      </c>
      <c r="D112" s="301" t="s">
        <v>130</v>
      </c>
      <c r="E112" s="301" t="s">
        <v>131</v>
      </c>
      <c r="F112" s="301" t="s">
        <v>132</v>
      </c>
      <c r="G112" s="301" t="s">
        <v>133</v>
      </c>
      <c r="H112" s="301" t="s">
        <v>134</v>
      </c>
      <c r="I112" s="301" t="s">
        <v>135</v>
      </c>
      <c r="J112" s="301" t="s">
        <v>136</v>
      </c>
      <c r="K112" s="301" t="s">
        <v>137</v>
      </c>
      <c r="L112" s="301" t="s">
        <v>138</v>
      </c>
      <c r="M112" s="301" t="s">
        <v>139</v>
      </c>
      <c r="N112" s="301" t="s">
        <v>140</v>
      </c>
      <c r="AC112" s="337" t="s">
        <v>49</v>
      </c>
      <c r="AD112" s="343">
        <f>AE100</f>
        <v>3.2160099672948139E-2</v>
      </c>
      <c r="AE112" s="343">
        <f>AF100</f>
        <v>1.1934361014420686E-2</v>
      </c>
      <c r="AF112" s="343">
        <f>AG100</f>
        <v>3.8418440851608771E-3</v>
      </c>
      <c r="AG112" s="343">
        <f>AH100</f>
        <v>1.741476575913662E-2</v>
      </c>
      <c r="AH112" s="343">
        <f>AI100</f>
        <v>1.1442694983522518E-2</v>
      </c>
      <c r="AI112" s="343" t="e">
        <f t="shared" ref="AI112:AO112" si="26">AJ100</f>
        <v>#DIV/0!</v>
      </c>
      <c r="AJ112" s="343" t="e">
        <f t="shared" si="26"/>
        <v>#DIV/0!</v>
      </c>
      <c r="AK112" s="343" t="e">
        <f t="shared" si="26"/>
        <v>#DIV/0!</v>
      </c>
      <c r="AL112" s="343" t="e">
        <f t="shared" si="26"/>
        <v>#DIV/0!</v>
      </c>
      <c r="AM112" s="343" t="e">
        <f t="shared" si="26"/>
        <v>#DIV/0!</v>
      </c>
      <c r="AN112" s="343" t="e">
        <f t="shared" si="26"/>
        <v>#DIV/0!</v>
      </c>
      <c r="AO112" s="343" t="e">
        <f t="shared" si="26"/>
        <v>#DIV/0!</v>
      </c>
      <c r="AP112" s="344">
        <f t="shared" ref="AP112" si="27">AF128</f>
        <v>0</v>
      </c>
    </row>
    <row r="113" spans="1:42">
      <c r="A113" s="697" t="s">
        <v>49</v>
      </c>
      <c r="B113" s="697"/>
      <c r="C113" s="211" t="e">
        <f>D100+D106</f>
        <v>#DIV/0!</v>
      </c>
      <c r="D113" s="211">
        <f>F100+F106</f>
        <v>1.2279355333844973E-2</v>
      </c>
      <c r="E113" s="211">
        <f>H100+H106</f>
        <v>3.2972211380101479E-2</v>
      </c>
      <c r="F113" s="211">
        <f>J100+J106</f>
        <v>6.9040484180798972E-2</v>
      </c>
      <c r="G113" s="211">
        <f>L100+L106</f>
        <v>3.507839333551676E-2</v>
      </c>
      <c r="H113" s="211" t="e">
        <f>N100+N106</f>
        <v>#DIV/0!</v>
      </c>
      <c r="I113" s="211" t="e">
        <f>P100+P106</f>
        <v>#DIV/0!</v>
      </c>
      <c r="J113" s="211" t="e">
        <f>R100+R106</f>
        <v>#DIV/0!</v>
      </c>
      <c r="K113" s="211" t="e">
        <f>T100+T106</f>
        <v>#DIV/0!</v>
      </c>
      <c r="L113" s="211" t="e">
        <f>V100+V106</f>
        <v>#DIV/0!</v>
      </c>
      <c r="M113" s="211" t="e">
        <f>X100+X106</f>
        <v>#DIV/0!</v>
      </c>
      <c r="N113" s="211" t="e">
        <f>Z100+Z106</f>
        <v>#DIV/0!</v>
      </c>
      <c r="AC113" s="337" t="s">
        <v>50</v>
      </c>
      <c r="AD113" s="343">
        <f>AE102</f>
        <v>4.9992213050926645E-2</v>
      </c>
      <c r="AE113" s="343">
        <f t="shared" ref="AE113:AO113" si="28">AF102</f>
        <v>9.075087021382397E-2</v>
      </c>
      <c r="AF113" s="343">
        <f t="shared" si="28"/>
        <v>9.8127101008484069E-2</v>
      </c>
      <c r="AG113" s="343">
        <f t="shared" si="28"/>
        <v>0.12276183468236448</v>
      </c>
      <c r="AH113" s="343">
        <f t="shared" si="28"/>
        <v>0.12321493958257049</v>
      </c>
      <c r="AI113" s="343" t="e">
        <f>AJ102</f>
        <v>#DIV/0!</v>
      </c>
      <c r="AJ113" s="343" t="e">
        <f t="shared" si="28"/>
        <v>#DIV/0!</v>
      </c>
      <c r="AK113" s="343" t="e">
        <f t="shared" si="28"/>
        <v>#DIV/0!</v>
      </c>
      <c r="AL113" s="343" t="e">
        <f t="shared" si="28"/>
        <v>#DIV/0!</v>
      </c>
      <c r="AM113" s="343" t="e">
        <f t="shared" si="28"/>
        <v>#DIV/0!</v>
      </c>
      <c r="AN113" s="343" t="e">
        <f t="shared" si="28"/>
        <v>#DIV/0!</v>
      </c>
      <c r="AO113" s="343" t="e">
        <f t="shared" si="28"/>
        <v>#DIV/0!</v>
      </c>
      <c r="AP113" s="344">
        <f t="shared" ref="AP113" si="29">AF130</f>
        <v>0</v>
      </c>
    </row>
    <row r="114" spans="1:42">
      <c r="A114" s="697" t="s">
        <v>50</v>
      </c>
      <c r="B114" s="697"/>
      <c r="C114" s="211" t="e">
        <f>D101+D107</f>
        <v>#DIV/0!</v>
      </c>
      <c r="D114" s="211">
        <f>F101+F107</f>
        <v>9.3374264517779484E-2</v>
      </c>
      <c r="E114" s="211">
        <f>H101+H107</f>
        <v>0.47735213198404458</v>
      </c>
      <c r="F114" s="211">
        <f>J101+J107</f>
        <v>0.28031999877687996</v>
      </c>
      <c r="G114" s="211">
        <f>L101+L107</f>
        <v>0.26515578493509112</v>
      </c>
      <c r="H114" s="211" t="e">
        <f>N101+N107</f>
        <v>#DIV/0!</v>
      </c>
      <c r="I114" s="211" t="e">
        <f>P101+P107</f>
        <v>#DIV/0!</v>
      </c>
      <c r="J114" s="211" t="e">
        <f>R101+R107</f>
        <v>#DIV/0!</v>
      </c>
      <c r="K114" s="211" t="e">
        <f>T101+T107</f>
        <v>#DIV/0!</v>
      </c>
      <c r="L114" s="211" t="e">
        <f>V101+V107</f>
        <v>#DIV/0!</v>
      </c>
      <c r="M114" s="211" t="e">
        <f>X101+X107</f>
        <v>#DIV/0!</v>
      </c>
      <c r="N114" s="211" t="e">
        <f>Z101+Z107</f>
        <v>#DIV/0!</v>
      </c>
      <c r="AC114" s="337" t="s">
        <v>51</v>
      </c>
      <c r="AD114" s="343">
        <f>AE104</f>
        <v>5.9492290920417377E-2</v>
      </c>
      <c r="AE114" s="343">
        <f t="shared" ref="AE114:AO114" si="30">AF104</f>
        <v>0.18722028841372451</v>
      </c>
      <c r="AF114" s="343">
        <f t="shared" si="30"/>
        <v>0.16952137025772371</v>
      </c>
      <c r="AG114" s="343">
        <f t="shared" si="30"/>
        <v>0.29740004905567818</v>
      </c>
      <c r="AH114" s="343">
        <f t="shared" si="30"/>
        <v>0.33357744415964846</v>
      </c>
      <c r="AI114" s="343" t="e">
        <f>AJ104</f>
        <v>#DIV/0!</v>
      </c>
      <c r="AJ114" s="343" t="e">
        <f t="shared" si="30"/>
        <v>#DIV/0!</v>
      </c>
      <c r="AK114" s="343" t="e">
        <f t="shared" si="30"/>
        <v>#DIV/0!</v>
      </c>
      <c r="AL114" s="343" t="e">
        <f t="shared" si="30"/>
        <v>#DIV/0!</v>
      </c>
      <c r="AM114" s="343" t="e">
        <f>AN104</f>
        <v>#DIV/0!</v>
      </c>
      <c r="AN114" s="343" t="e">
        <f t="shared" si="30"/>
        <v>#DIV/0!</v>
      </c>
      <c r="AO114" s="343" t="e">
        <f t="shared" si="30"/>
        <v>#DIV/0!</v>
      </c>
      <c r="AP114" s="344">
        <f t="shared" ref="AP114" si="31">AF132</f>
        <v>0</v>
      </c>
    </row>
    <row r="115" spans="1:42">
      <c r="A115" s="697" t="s">
        <v>51</v>
      </c>
      <c r="B115" s="697"/>
      <c r="C115" s="211" t="e">
        <f>D102+D108</f>
        <v>#DIV/0!</v>
      </c>
      <c r="D115" s="211">
        <f>F102+F108</f>
        <v>0.192632386799693</v>
      </c>
      <c r="E115" s="211">
        <f>H102+H108</f>
        <v>0.41863570156983332</v>
      </c>
      <c r="F115" s="211">
        <f>J102+J108</f>
        <v>0.8256106590542005</v>
      </c>
      <c r="G115" s="211">
        <f>L102+L108</f>
        <v>0.96365222127447203</v>
      </c>
      <c r="H115" s="211" t="e">
        <f>N102+N108</f>
        <v>#DIV/0!</v>
      </c>
      <c r="I115" s="211" t="e">
        <f>P102+P108</f>
        <v>#DIV/0!</v>
      </c>
      <c r="J115" s="211" t="e">
        <f>R102+R108</f>
        <v>#DIV/0!</v>
      </c>
      <c r="K115" s="211" t="e">
        <f>T102+T108</f>
        <v>#DIV/0!</v>
      </c>
      <c r="L115" s="211" t="e">
        <f>V102+V108</f>
        <v>#DIV/0!</v>
      </c>
      <c r="M115" s="211" t="e">
        <f>X102+X108</f>
        <v>#DIV/0!</v>
      </c>
      <c r="N115" s="211" t="e">
        <f>Z102+Z108</f>
        <v>#DIV/0!</v>
      </c>
      <c r="AC115" s="337" t="s">
        <v>52</v>
      </c>
      <c r="AD115" s="343">
        <f>AE106</f>
        <v>0.85835539635570779</v>
      </c>
      <c r="AE115" s="343">
        <f t="shared" ref="AE115:AO115" si="32">AF106</f>
        <v>0.7100944803580308</v>
      </c>
      <c r="AF115" s="343">
        <f t="shared" si="32"/>
        <v>0.72850968464863131</v>
      </c>
      <c r="AG115" s="343">
        <f t="shared" si="32"/>
        <v>0.56242335050282066</v>
      </c>
      <c r="AH115" s="343">
        <f t="shared" si="32"/>
        <v>0.53176492127425856</v>
      </c>
      <c r="AI115" s="343" t="e">
        <f t="shared" si="32"/>
        <v>#DIV/0!</v>
      </c>
      <c r="AJ115" s="343" t="e">
        <f>AK106</f>
        <v>#DIV/0!</v>
      </c>
      <c r="AK115" s="343" t="e">
        <f t="shared" si="32"/>
        <v>#DIV/0!</v>
      </c>
      <c r="AL115" s="343" t="e">
        <f t="shared" si="32"/>
        <v>#DIV/0!</v>
      </c>
      <c r="AM115" s="343" t="e">
        <f t="shared" si="32"/>
        <v>#DIV/0!</v>
      </c>
      <c r="AN115" s="343" t="e">
        <f t="shared" si="32"/>
        <v>#DIV/0!</v>
      </c>
      <c r="AO115" s="343" t="e">
        <f t="shared" si="32"/>
        <v>#DIV/0!</v>
      </c>
      <c r="AP115" s="344">
        <f t="shared" ref="AP115" si="33">AF134</f>
        <v>0</v>
      </c>
    </row>
    <row r="116" spans="1:42">
      <c r="A116" s="697" t="s">
        <v>52</v>
      </c>
      <c r="B116" s="697"/>
      <c r="C116" s="211" t="e">
        <f>D103+D109</f>
        <v>#DIV/0!</v>
      </c>
      <c r="D116" s="211">
        <f>F103+F109</f>
        <v>0.73062164236377591</v>
      </c>
      <c r="E116" s="211">
        <f>H103+H109</f>
        <v>1.0710399550660206</v>
      </c>
      <c r="F116" s="211">
        <f>J103+J109</f>
        <v>0.82502885798812042</v>
      </c>
      <c r="G116" s="211">
        <f>L103+L109</f>
        <v>0.73611360045492003</v>
      </c>
      <c r="H116" s="211" t="e">
        <f>N103+N109</f>
        <v>#DIV/0!</v>
      </c>
      <c r="I116" s="211" t="e">
        <f>P103+P109</f>
        <v>#DIV/0!</v>
      </c>
      <c r="J116" s="211" t="e">
        <f>R103+R109</f>
        <v>#DIV/0!</v>
      </c>
      <c r="K116" s="211" t="e">
        <f>T103+T109</f>
        <v>#DIV/0!</v>
      </c>
      <c r="L116" s="211" t="e">
        <f>V103+V109</f>
        <v>#DIV/0!</v>
      </c>
      <c r="M116" s="211" t="e">
        <f>X103+X109</f>
        <v>#DIV/0!</v>
      </c>
      <c r="N116" s="211" t="e">
        <f>Z103+Z109</f>
        <v>#DIV/0!</v>
      </c>
      <c r="AC116" s="336" t="s">
        <v>37</v>
      </c>
      <c r="AD116" s="345">
        <f>SUM(AD112:AD115)</f>
        <v>1</v>
      </c>
      <c r="AE116" s="345">
        <f t="shared" ref="AE116:AO116" si="34">SUM(AE112:AE115)</f>
        <v>1</v>
      </c>
      <c r="AF116" s="345">
        <f t="shared" si="34"/>
        <v>1</v>
      </c>
      <c r="AG116" s="345">
        <f t="shared" si="34"/>
        <v>1</v>
      </c>
      <c r="AH116" s="345">
        <f t="shared" si="34"/>
        <v>1</v>
      </c>
      <c r="AI116" s="345" t="e">
        <f t="shared" si="34"/>
        <v>#DIV/0!</v>
      </c>
      <c r="AJ116" s="345" t="e">
        <f t="shared" si="34"/>
        <v>#DIV/0!</v>
      </c>
      <c r="AK116" s="345" t="e">
        <f>SUM(AK112:AK115)</f>
        <v>#DIV/0!</v>
      </c>
      <c r="AL116" s="345" t="e">
        <f t="shared" si="34"/>
        <v>#DIV/0!</v>
      </c>
      <c r="AM116" s="345" t="e">
        <f t="shared" si="34"/>
        <v>#DIV/0!</v>
      </c>
      <c r="AN116" s="345" t="e">
        <f t="shared" si="34"/>
        <v>#DIV/0!</v>
      </c>
      <c r="AO116" s="345" t="e">
        <f t="shared" si="34"/>
        <v>#DIV/0!</v>
      </c>
      <c r="AP116" s="342"/>
    </row>
    <row r="117" spans="1:42">
      <c r="A117" s="305"/>
      <c r="B117" s="92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</row>
    <row r="118" spans="1:42" ht="14.95" thickBot="1">
      <c r="A118" s="305"/>
      <c r="B118" s="92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</row>
    <row r="119" spans="1:42" ht="29.25" thickBot="1">
      <c r="A119" s="717" t="s">
        <v>182</v>
      </c>
      <c r="B119" s="718"/>
      <c r="C119" s="718"/>
      <c r="D119" s="718"/>
      <c r="E119" s="718"/>
      <c r="F119" s="718"/>
      <c r="G119" s="718"/>
      <c r="H119" s="718"/>
      <c r="I119" s="718"/>
      <c r="J119" s="718"/>
      <c r="K119" s="718"/>
      <c r="L119" s="718"/>
      <c r="M119" s="718"/>
      <c r="N119" s="718"/>
      <c r="O119" s="718"/>
      <c r="P119" s="718"/>
      <c r="Q119" s="718"/>
      <c r="R119" s="718"/>
      <c r="S119" s="718"/>
      <c r="T119" s="718"/>
      <c r="U119" s="718"/>
      <c r="V119" s="718"/>
      <c r="W119" s="718"/>
      <c r="X119" s="718"/>
      <c r="Y119" s="718"/>
      <c r="Z119" s="718"/>
      <c r="AA119" s="718"/>
      <c r="AB119" s="719"/>
    </row>
    <row r="120" spans="1:42">
      <c r="A120" s="247"/>
      <c r="B120" s="303" t="s">
        <v>77</v>
      </c>
      <c r="C120" s="684" t="s">
        <v>30</v>
      </c>
      <c r="D120" s="684"/>
      <c r="E120" s="684" t="s">
        <v>31</v>
      </c>
      <c r="F120" s="684"/>
      <c r="G120" s="684" t="s">
        <v>2</v>
      </c>
      <c r="H120" s="684"/>
      <c r="I120" s="684" t="s">
        <v>32</v>
      </c>
      <c r="J120" s="684"/>
      <c r="K120" s="684" t="s">
        <v>33</v>
      </c>
      <c r="L120" s="684"/>
      <c r="M120" s="684" t="s">
        <v>54</v>
      </c>
      <c r="N120" s="684"/>
      <c r="O120" s="684" t="s">
        <v>55</v>
      </c>
      <c r="P120" s="684"/>
      <c r="Q120" s="684" t="s">
        <v>56</v>
      </c>
      <c r="R120" s="684"/>
      <c r="S120" s="684" t="s">
        <v>57</v>
      </c>
      <c r="T120" s="684"/>
      <c r="U120" s="684" t="s">
        <v>58</v>
      </c>
      <c r="V120" s="684"/>
      <c r="W120" s="684" t="s">
        <v>59</v>
      </c>
      <c r="X120" s="684"/>
      <c r="Y120" s="684" t="s">
        <v>60</v>
      </c>
      <c r="Z120" s="684"/>
      <c r="AA120" s="303" t="s">
        <v>16</v>
      </c>
      <c r="AB120" s="217" t="s">
        <v>17</v>
      </c>
    </row>
    <row r="121" spans="1:42">
      <c r="A121" s="682" t="s">
        <v>195</v>
      </c>
      <c r="B121" s="306" t="s">
        <v>49</v>
      </c>
      <c r="C121" s="320">
        <v>66</v>
      </c>
      <c r="D121" s="211">
        <f>C121/$C$125</f>
        <v>8.5062508055161745E-3</v>
      </c>
      <c r="E121" s="320">
        <v>76</v>
      </c>
      <c r="F121" s="211">
        <f>E121/$E$125</f>
        <v>1.1344976862218241E-2</v>
      </c>
      <c r="G121" s="320">
        <v>112</v>
      </c>
      <c r="H121" s="211">
        <f>G121/$G$125</f>
        <v>1.7060167555217061E-2</v>
      </c>
      <c r="I121" s="320">
        <v>69</v>
      </c>
      <c r="J121" s="211">
        <f>I121/$I$125</f>
        <v>7.2289156626506026E-3</v>
      </c>
      <c r="K121" s="320">
        <v>42</v>
      </c>
      <c r="L121" s="211">
        <f>K121/$K$125</f>
        <v>3.9916365709941077E-3</v>
      </c>
      <c r="M121" s="320">
        <v>0</v>
      </c>
      <c r="N121" s="211" t="e">
        <f>M121/$M$125</f>
        <v>#DIV/0!</v>
      </c>
      <c r="O121" s="320">
        <v>0</v>
      </c>
      <c r="P121" s="211" t="e">
        <f>O121/$O$125</f>
        <v>#DIV/0!</v>
      </c>
      <c r="Q121" s="320">
        <v>0</v>
      </c>
      <c r="R121" s="211" t="e">
        <f>Q121/$Q$125</f>
        <v>#DIV/0!</v>
      </c>
      <c r="S121" s="320">
        <v>0</v>
      </c>
      <c r="T121" s="211" t="e">
        <f>S121/$S$125</f>
        <v>#DIV/0!</v>
      </c>
      <c r="U121" s="320">
        <v>0</v>
      </c>
      <c r="V121" s="211" t="e">
        <f>U121/$U$125</f>
        <v>#DIV/0!</v>
      </c>
      <c r="W121" s="320">
        <v>0</v>
      </c>
      <c r="X121" s="211" t="e">
        <f>W121/$W$125</f>
        <v>#DIV/0!</v>
      </c>
      <c r="Y121" s="320">
        <v>0</v>
      </c>
      <c r="Z121" s="231" t="e">
        <f>Y121/Y125</f>
        <v>#DIV/0!</v>
      </c>
      <c r="AA121" s="213">
        <f>SUM(C121,E121,G121,I121,K121,M121,O121,Q121,S121,U121,W121,Y121)</f>
        <v>365</v>
      </c>
      <c r="AB121" s="218">
        <f>IFERROR(AVERAGE(C121,E121,G121,I121,K121,M121,O121,Q121,S121,U121,W121,Y121),"-")</f>
        <v>30.416666666666668</v>
      </c>
    </row>
    <row r="122" spans="1:42">
      <c r="A122" s="682"/>
      <c r="B122" s="306" t="s">
        <v>50</v>
      </c>
      <c r="C122" s="320">
        <v>834</v>
      </c>
      <c r="D122" s="211">
        <f>C122/$C$125</f>
        <v>0.10748807836061348</v>
      </c>
      <c r="E122" s="320">
        <v>1034</v>
      </c>
      <c r="F122" s="211">
        <f>E122/$E$125</f>
        <v>0.15435139573070608</v>
      </c>
      <c r="G122" s="320">
        <v>1135</v>
      </c>
      <c r="H122" s="211">
        <f>G122/$G$125</f>
        <v>0.17288651942117289</v>
      </c>
      <c r="I122" s="320">
        <v>934</v>
      </c>
      <c r="J122" s="211">
        <f>I122/$I$125</f>
        <v>9.7852278679937135E-2</v>
      </c>
      <c r="K122" s="320">
        <v>877</v>
      </c>
      <c r="L122" s="211">
        <f>K122/$K$125</f>
        <v>8.3349173160996007E-2</v>
      </c>
      <c r="M122" s="320">
        <v>0</v>
      </c>
      <c r="N122" s="211" t="e">
        <f>M122/$M$125</f>
        <v>#DIV/0!</v>
      </c>
      <c r="O122" s="320">
        <v>0</v>
      </c>
      <c r="P122" s="211" t="e">
        <f>O122/$O$125</f>
        <v>#DIV/0!</v>
      </c>
      <c r="Q122" s="320">
        <v>0</v>
      </c>
      <c r="R122" s="211" t="e">
        <f>Q122/$Q$125</f>
        <v>#DIV/0!</v>
      </c>
      <c r="S122" s="320">
        <v>0</v>
      </c>
      <c r="T122" s="211" t="e">
        <f>S122/$S$125</f>
        <v>#DIV/0!</v>
      </c>
      <c r="U122" s="320">
        <v>0</v>
      </c>
      <c r="V122" s="211" t="e">
        <f>U122/$U$125</f>
        <v>#DIV/0!</v>
      </c>
      <c r="W122" s="320">
        <v>0</v>
      </c>
      <c r="X122" s="211" t="e">
        <f>W122/$W$125</f>
        <v>#DIV/0!</v>
      </c>
      <c r="Y122" s="320">
        <v>0</v>
      </c>
      <c r="Z122" s="231" t="e">
        <f>Y122/Y125</f>
        <v>#DIV/0!</v>
      </c>
      <c r="AA122" s="213">
        <f>SUM(C122,E122,G122,I122,K122,M122,O122,Q122,S122,U122,W122,Y122)</f>
        <v>4814</v>
      </c>
      <c r="AB122" s="218">
        <f>IFERROR(AVERAGE(C122,E122,G122,I122,K122,M122,O122,Q122,S122,U122,W122,Y122),"-")</f>
        <v>401.16666666666669</v>
      </c>
    </row>
    <row r="123" spans="1:42">
      <c r="A123" s="682"/>
      <c r="B123" s="306" t="s">
        <v>51</v>
      </c>
      <c r="C123" s="320">
        <v>5328</v>
      </c>
      <c r="D123" s="211">
        <f>C123/$C$125</f>
        <v>0.68668642866348761</v>
      </c>
      <c r="E123" s="320">
        <v>3752</v>
      </c>
      <c r="F123" s="211">
        <f>E123/$E$125</f>
        <v>0.56008359456635315</v>
      </c>
      <c r="G123" s="320">
        <v>5943</v>
      </c>
      <c r="H123" s="211">
        <f>G123/$G$125</f>
        <v>0.90525514089870529</v>
      </c>
      <c r="I123" s="320">
        <v>5829</v>
      </c>
      <c r="J123" s="211">
        <f>I123/$I$125</f>
        <v>0.61068622315348353</v>
      </c>
      <c r="K123" s="320">
        <v>6916</v>
      </c>
      <c r="L123" s="211">
        <f>K123/$K$125</f>
        <v>0.65728948869036308</v>
      </c>
      <c r="M123" s="320">
        <v>0</v>
      </c>
      <c r="N123" s="211" t="e">
        <f>M123/$M$125</f>
        <v>#DIV/0!</v>
      </c>
      <c r="O123" s="320">
        <v>0</v>
      </c>
      <c r="P123" s="211" t="e">
        <f>O123/$O$125</f>
        <v>#DIV/0!</v>
      </c>
      <c r="Q123" s="320">
        <v>0</v>
      </c>
      <c r="R123" s="211" t="e">
        <f>Q123/$Q$125</f>
        <v>#DIV/0!</v>
      </c>
      <c r="S123" s="320">
        <v>0</v>
      </c>
      <c r="T123" s="211" t="e">
        <f>S123/$S$125</f>
        <v>#DIV/0!</v>
      </c>
      <c r="U123" s="320">
        <v>0</v>
      </c>
      <c r="V123" s="211" t="e">
        <f>U123/$U$125</f>
        <v>#DIV/0!</v>
      </c>
      <c r="W123" s="320">
        <v>0</v>
      </c>
      <c r="X123" s="211" t="e">
        <f>W123/$W$125</f>
        <v>#DIV/0!</v>
      </c>
      <c r="Y123" s="320">
        <v>0</v>
      </c>
      <c r="Z123" s="231" t="e">
        <f>Y123/Y125</f>
        <v>#DIV/0!</v>
      </c>
      <c r="AA123" s="213">
        <f>SUM(C123,E123,G123,I123,K123,M123,O123,Q123,S123,U123,W123,Y123)</f>
        <v>27768</v>
      </c>
      <c r="AB123" s="218">
        <f>IFERROR(AVERAGE(C123,E123,G123,I123,K123,M123,O123,Q123,S123,U123,W123,Y123),"-")</f>
        <v>2314</v>
      </c>
    </row>
    <row r="124" spans="1:42">
      <c r="A124" s="682"/>
      <c r="B124" s="306" t="s">
        <v>52</v>
      </c>
      <c r="C124" s="320">
        <v>1531</v>
      </c>
      <c r="D124" s="211">
        <f>C124/$C$125</f>
        <v>0.19731924217038277</v>
      </c>
      <c r="E124" s="320">
        <v>1837</v>
      </c>
      <c r="F124" s="211">
        <f>E124/$E$125</f>
        <v>0.27422003284072249</v>
      </c>
      <c r="G124" s="320">
        <v>2613</v>
      </c>
      <c r="H124" s="211">
        <f>G124/$G$125</f>
        <v>0.39801980198019804</v>
      </c>
      <c r="I124" s="320">
        <v>2713</v>
      </c>
      <c r="J124" s="211">
        <f>I124/$I$125</f>
        <v>0.28423258250392874</v>
      </c>
      <c r="K124" s="320">
        <v>2687</v>
      </c>
      <c r="L124" s="211">
        <f>K124/$K$125</f>
        <v>0.25536970157764682</v>
      </c>
      <c r="M124" s="320">
        <v>0</v>
      </c>
      <c r="N124" s="211" t="e">
        <f>M124/$M$125</f>
        <v>#DIV/0!</v>
      </c>
      <c r="O124" s="320">
        <v>0</v>
      </c>
      <c r="P124" s="211" t="e">
        <f>O124/$O$125</f>
        <v>#DIV/0!</v>
      </c>
      <c r="Q124" s="320">
        <v>0</v>
      </c>
      <c r="R124" s="211" t="e">
        <f>Q124/$Q$125</f>
        <v>#DIV/0!</v>
      </c>
      <c r="S124" s="320">
        <v>0</v>
      </c>
      <c r="T124" s="211" t="e">
        <f>S124/$S$125</f>
        <v>#DIV/0!</v>
      </c>
      <c r="U124" s="320">
        <v>0</v>
      </c>
      <c r="V124" s="211" t="e">
        <f>U124/$U$125</f>
        <v>#DIV/0!</v>
      </c>
      <c r="W124" s="320">
        <v>0</v>
      </c>
      <c r="X124" s="211" t="e">
        <f>W124/$W$125</f>
        <v>#DIV/0!</v>
      </c>
      <c r="Y124" s="320">
        <v>0</v>
      </c>
      <c r="Z124" s="231" t="e">
        <f>Y124/Y125</f>
        <v>#DIV/0!</v>
      </c>
      <c r="AA124" s="213">
        <f>SUM(C124,E124,G124,I124,K124,M124,O124,Q124,S124,U124,W124,Y124)</f>
        <v>11381</v>
      </c>
      <c r="AB124" s="218">
        <f>IFERROR(AVERAGE(C124,E124,G124,I124,K124,M124,O124,Q124,S124,U124,W124,Y124),"-")</f>
        <v>948.41666666666663</v>
      </c>
    </row>
    <row r="125" spans="1:42" ht="14.95" thickBot="1">
      <c r="A125" s="683"/>
      <c r="B125" s="220" t="s">
        <v>37</v>
      </c>
      <c r="C125" s="221">
        <f t="shared" ref="C125:AA125" si="35">SUM(C121:C124)</f>
        <v>7759</v>
      </c>
      <c r="D125" s="222">
        <f t="shared" si="35"/>
        <v>1</v>
      </c>
      <c r="E125" s="221">
        <f t="shared" si="35"/>
        <v>6699</v>
      </c>
      <c r="F125" s="211">
        <f>E125/$C$125</f>
        <v>0.86338445675989173</v>
      </c>
      <c r="G125" s="221">
        <v>6565</v>
      </c>
      <c r="H125" s="222">
        <f t="shared" si="35"/>
        <v>1.4932216298552934</v>
      </c>
      <c r="I125" s="221">
        <f t="shared" si="35"/>
        <v>9545</v>
      </c>
      <c r="J125" s="222">
        <f t="shared" si="35"/>
        <v>1</v>
      </c>
      <c r="K125" s="221">
        <f t="shared" si="35"/>
        <v>10522</v>
      </c>
      <c r="L125" s="222">
        <f t="shared" si="35"/>
        <v>1</v>
      </c>
      <c r="M125" s="221">
        <f t="shared" si="35"/>
        <v>0</v>
      </c>
      <c r="N125" s="222" t="e">
        <f t="shared" si="35"/>
        <v>#DIV/0!</v>
      </c>
      <c r="O125" s="221">
        <f t="shared" si="35"/>
        <v>0</v>
      </c>
      <c r="P125" s="222" t="e">
        <f t="shared" si="35"/>
        <v>#DIV/0!</v>
      </c>
      <c r="Q125" s="221">
        <f t="shared" si="35"/>
        <v>0</v>
      </c>
      <c r="R125" s="222" t="e">
        <f t="shared" si="35"/>
        <v>#DIV/0!</v>
      </c>
      <c r="S125" s="221">
        <f t="shared" si="35"/>
        <v>0</v>
      </c>
      <c r="T125" s="222" t="e">
        <f t="shared" si="35"/>
        <v>#DIV/0!</v>
      </c>
      <c r="U125" s="221">
        <f t="shared" si="35"/>
        <v>0</v>
      </c>
      <c r="V125" s="222" t="e">
        <f t="shared" si="35"/>
        <v>#DIV/0!</v>
      </c>
      <c r="W125" s="221">
        <f t="shared" si="35"/>
        <v>0</v>
      </c>
      <c r="X125" s="222" t="e">
        <f t="shared" si="35"/>
        <v>#DIV/0!</v>
      </c>
      <c r="Y125" s="221">
        <f t="shared" si="35"/>
        <v>0</v>
      </c>
      <c r="Z125" s="222" t="e">
        <f t="shared" si="35"/>
        <v>#DIV/0!</v>
      </c>
      <c r="AA125" s="221">
        <f t="shared" si="35"/>
        <v>44328</v>
      </c>
      <c r="AB125" s="223">
        <f>IFERROR(AVERAGE(C125,E125,G125,I125,K125,M125,O125,Q125,S125,U125,W125,Y125),"-")</f>
        <v>3424.1666666666665</v>
      </c>
    </row>
    <row r="126" spans="1:42" ht="29.25" thickBot="1">
      <c r="A126" s="202"/>
      <c r="B126" s="706" t="s">
        <v>183</v>
      </c>
      <c r="C126" s="707"/>
      <c r="D126" s="707"/>
      <c r="E126" s="707"/>
      <c r="F126" s="707"/>
      <c r="G126" s="707"/>
      <c r="H126" s="707"/>
      <c r="I126" s="707"/>
      <c r="J126" s="707"/>
      <c r="K126" s="707"/>
      <c r="L126" s="707"/>
      <c r="M126" s="707"/>
      <c r="N126" s="708"/>
      <c r="O126" s="245"/>
      <c r="P126" s="102"/>
      <c r="Q126" s="104"/>
      <c r="R126" s="102"/>
      <c r="S126" s="104"/>
      <c r="T126" s="102"/>
      <c r="U126" s="104"/>
      <c r="V126" s="102"/>
      <c r="W126" s="104"/>
      <c r="X126" s="102"/>
      <c r="Y126" s="104"/>
      <c r="Z126" s="102"/>
      <c r="AA126" s="104"/>
      <c r="AB126" s="104"/>
    </row>
    <row r="127" spans="1:42">
      <c r="B127" s="246"/>
      <c r="C127" s="248" t="s">
        <v>61</v>
      </c>
      <c r="D127" s="248" t="s">
        <v>62</v>
      </c>
      <c r="E127" s="248" t="s">
        <v>63</v>
      </c>
      <c r="F127" s="248" t="s">
        <v>64</v>
      </c>
      <c r="G127" s="248" t="s">
        <v>65</v>
      </c>
      <c r="H127" s="248" t="s">
        <v>66</v>
      </c>
      <c r="I127" s="248" t="s">
        <v>95</v>
      </c>
      <c r="J127" s="248" t="s">
        <v>102</v>
      </c>
      <c r="K127" s="248" t="s">
        <v>103</v>
      </c>
      <c r="L127" s="248" t="s">
        <v>104</v>
      </c>
      <c r="M127" s="248" t="s">
        <v>105</v>
      </c>
      <c r="N127" s="248" t="s">
        <v>106</v>
      </c>
    </row>
    <row r="128" spans="1:42">
      <c r="A128" s="207"/>
      <c r="B128" s="306" t="s">
        <v>49</v>
      </c>
      <c r="C128" s="249">
        <f>D121</f>
        <v>8.5062508055161745E-3</v>
      </c>
      <c r="D128" s="249">
        <f>F121</f>
        <v>1.1344976862218241E-2</v>
      </c>
      <c r="E128" s="249">
        <f>H121</f>
        <v>1.7060167555217061E-2</v>
      </c>
      <c r="F128" s="249">
        <f>J121</f>
        <v>7.2289156626506026E-3</v>
      </c>
      <c r="G128" s="249">
        <f>L121</f>
        <v>3.9916365709941077E-3</v>
      </c>
      <c r="H128" s="249" t="e">
        <f>N121</f>
        <v>#DIV/0!</v>
      </c>
      <c r="I128" s="249" t="e">
        <f>P121</f>
        <v>#DIV/0!</v>
      </c>
      <c r="J128" s="249" t="e">
        <f>R121</f>
        <v>#DIV/0!</v>
      </c>
      <c r="K128" s="249" t="e">
        <f>T121</f>
        <v>#DIV/0!</v>
      </c>
      <c r="L128" s="249" t="e">
        <f>V121</f>
        <v>#DIV/0!</v>
      </c>
      <c r="M128" s="249" t="e">
        <f>X121</f>
        <v>#DIV/0!</v>
      </c>
      <c r="N128" s="249" t="e">
        <f>Z121</f>
        <v>#DIV/0!</v>
      </c>
      <c r="O128" s="208"/>
    </row>
    <row r="129" spans="2:14">
      <c r="B129" s="306" t="s">
        <v>50</v>
      </c>
      <c r="C129" s="249">
        <f>D122</f>
        <v>0.10748807836061348</v>
      </c>
      <c r="D129" s="249">
        <f>F122</f>
        <v>0.15435139573070608</v>
      </c>
      <c r="E129" s="249">
        <f>H122</f>
        <v>0.17288651942117289</v>
      </c>
      <c r="F129" s="249">
        <f>J122</f>
        <v>9.7852278679937135E-2</v>
      </c>
      <c r="G129" s="249">
        <f>L122</f>
        <v>8.3349173160996007E-2</v>
      </c>
      <c r="H129" s="249" t="e">
        <f>N122</f>
        <v>#DIV/0!</v>
      </c>
      <c r="I129" s="249" t="e">
        <f>P122</f>
        <v>#DIV/0!</v>
      </c>
      <c r="J129" s="249" t="e">
        <f>R122</f>
        <v>#DIV/0!</v>
      </c>
      <c r="K129" s="249" t="e">
        <f>T122</f>
        <v>#DIV/0!</v>
      </c>
      <c r="L129" s="249" t="e">
        <f>V122</f>
        <v>#DIV/0!</v>
      </c>
      <c r="M129" s="249" t="e">
        <f>X122</f>
        <v>#DIV/0!</v>
      </c>
      <c r="N129" s="249" t="e">
        <f>Z122</f>
        <v>#DIV/0!</v>
      </c>
    </row>
    <row r="130" spans="2:14">
      <c r="B130" s="306" t="s">
        <v>51</v>
      </c>
      <c r="C130" s="249">
        <f>D123</f>
        <v>0.68668642866348761</v>
      </c>
      <c r="D130" s="249">
        <f>F123</f>
        <v>0.56008359456635315</v>
      </c>
      <c r="E130" s="249">
        <f>H123</f>
        <v>0.90525514089870529</v>
      </c>
      <c r="F130" s="249">
        <f>J123</f>
        <v>0.61068622315348353</v>
      </c>
      <c r="G130" s="249">
        <f>L123</f>
        <v>0.65728948869036308</v>
      </c>
      <c r="H130" s="249" t="e">
        <f>N123</f>
        <v>#DIV/0!</v>
      </c>
      <c r="I130" s="249" t="e">
        <f>P123</f>
        <v>#DIV/0!</v>
      </c>
      <c r="J130" s="249" t="e">
        <f>R123</f>
        <v>#DIV/0!</v>
      </c>
      <c r="K130" s="249" t="e">
        <f>T123</f>
        <v>#DIV/0!</v>
      </c>
      <c r="L130" s="249" t="e">
        <f>V123</f>
        <v>#DIV/0!</v>
      </c>
      <c r="M130" s="249" t="e">
        <f>X123</f>
        <v>#DIV/0!</v>
      </c>
      <c r="N130" s="249" t="e">
        <f>Z123</f>
        <v>#DIV/0!</v>
      </c>
    </row>
    <row r="131" spans="2:14">
      <c r="B131" s="306" t="s">
        <v>52</v>
      </c>
      <c r="C131" s="249">
        <f>D124</f>
        <v>0.19731924217038277</v>
      </c>
      <c r="D131" s="249">
        <f>F124</f>
        <v>0.27422003284072249</v>
      </c>
      <c r="E131" s="249">
        <f>H124</f>
        <v>0.39801980198019804</v>
      </c>
      <c r="F131" s="249">
        <f>J124</f>
        <v>0.28423258250392874</v>
      </c>
      <c r="G131" s="249">
        <f>L124</f>
        <v>0.25536970157764682</v>
      </c>
      <c r="H131" s="249" t="e">
        <f>N124</f>
        <v>#DIV/0!</v>
      </c>
      <c r="I131" s="249" t="e">
        <f>P124</f>
        <v>#DIV/0!</v>
      </c>
      <c r="J131" s="249" t="e">
        <f>R124</f>
        <v>#DIV/0!</v>
      </c>
      <c r="K131" s="249" t="e">
        <f>T124</f>
        <v>#DIV/0!</v>
      </c>
      <c r="L131" s="249" t="e">
        <f>V124</f>
        <v>#DIV/0!</v>
      </c>
      <c r="M131" s="249" t="e">
        <f>X124</f>
        <v>#DIV/0!</v>
      </c>
      <c r="N131" s="249" t="e">
        <f>Z124</f>
        <v>#DIV/0!</v>
      </c>
    </row>
  </sheetData>
  <customSheetViews>
    <customSheetView guid="{735276B6-8B53-4447-B7C2-CBEDAEBC1390}" scale="80" showPageBreaks="1" showGridLines="0" printArea="1" hiddenRows="1" view="pageLayout">
      <selection activeCell="M77" sqref="M77"/>
      <rowBreaks count="1" manualBreakCount="1">
        <brk id="54" max="16" man="1"/>
      </rowBreaks>
      <pageMargins left="0.39370078740157483" right="2.2312500000000002" top="0.76249999999999996" bottom="0.51181102362204722" header="0.31496062992125984" footer="0.31496062992125984"/>
      <printOptions horizontalCentered="1"/>
      <pageSetup paperSize="9" scale="60" orientation="landscape" r:id="rId1"/>
      <headerFooter differentFirst="1">
        <oddHeader>&amp;L&amp;G&amp;CProntos Municipais de Taboão da SerraSPDM - Associação Paulista para o Desenvolvimento da Medicina&amp;R&amp;G</oddHeader>
        <firstHeader>&amp;L&amp;G&amp;CProntos Municipais de Taboão da SerraSPDM - Associação Paulista para o Desenvolvimento da Medicina&amp;R&amp;G</firstHeader>
        <firstFooter>&amp;R12</firstFooter>
      </headerFooter>
    </customSheetView>
  </customSheetViews>
  <mergeCells count="97">
    <mergeCell ref="B126:N126"/>
    <mergeCell ref="A70:AB70"/>
    <mergeCell ref="C93:F93"/>
    <mergeCell ref="C94:F94"/>
    <mergeCell ref="C95:F95"/>
    <mergeCell ref="A98:AB98"/>
    <mergeCell ref="A111:N111"/>
    <mergeCell ref="O120:P120"/>
    <mergeCell ref="Q120:R120"/>
    <mergeCell ref="S120:T120"/>
    <mergeCell ref="Q99:R99"/>
    <mergeCell ref="S99:T99"/>
    <mergeCell ref="Q105:R105"/>
    <mergeCell ref="S105:T105"/>
    <mergeCell ref="A119:AB119"/>
    <mergeCell ref="Y83:Z83"/>
    <mergeCell ref="U71:V71"/>
    <mergeCell ref="U77:V77"/>
    <mergeCell ref="C120:D120"/>
    <mergeCell ref="E120:F120"/>
    <mergeCell ref="G120:H120"/>
    <mergeCell ref="I120:J120"/>
    <mergeCell ref="S77:T77"/>
    <mergeCell ref="S83:T83"/>
    <mergeCell ref="I77:J77"/>
    <mergeCell ref="I83:J83"/>
    <mergeCell ref="O83:P83"/>
    <mergeCell ref="C89:R90"/>
    <mergeCell ref="C91:F91"/>
    <mergeCell ref="C92:F92"/>
    <mergeCell ref="K83:L83"/>
    <mergeCell ref="C71:D71"/>
    <mergeCell ref="Y120:Z120"/>
    <mergeCell ref="W120:X120"/>
    <mergeCell ref="U120:V120"/>
    <mergeCell ref="K120:L120"/>
    <mergeCell ref="M105:N105"/>
    <mergeCell ref="O105:P105"/>
    <mergeCell ref="W105:X105"/>
    <mergeCell ref="Y105:Z105"/>
    <mergeCell ref="U105:V105"/>
    <mergeCell ref="Y71:Z71"/>
    <mergeCell ref="Y77:Z77"/>
    <mergeCell ref="M71:N71"/>
    <mergeCell ref="M120:N120"/>
    <mergeCell ref="M77:N77"/>
    <mergeCell ref="M83:N83"/>
    <mergeCell ref="Q71:R71"/>
    <mergeCell ref="Q77:R77"/>
    <mergeCell ref="Q83:R83"/>
    <mergeCell ref="U83:V83"/>
    <mergeCell ref="W71:X71"/>
    <mergeCell ref="W77:X77"/>
    <mergeCell ref="W83:X83"/>
    <mergeCell ref="O71:P71"/>
    <mergeCell ref="O77:P77"/>
    <mergeCell ref="S71:T71"/>
    <mergeCell ref="AC70:AC80"/>
    <mergeCell ref="A121:A125"/>
    <mergeCell ref="A91:A95"/>
    <mergeCell ref="E77:F77"/>
    <mergeCell ref="E83:F83"/>
    <mergeCell ref="G77:H77"/>
    <mergeCell ref="G83:H83"/>
    <mergeCell ref="C99:D99"/>
    <mergeCell ref="C105:D105"/>
    <mergeCell ref="E105:F105"/>
    <mergeCell ref="G105:H105"/>
    <mergeCell ref="A114:B114"/>
    <mergeCell ref="A115:B115"/>
    <mergeCell ref="A116:B116"/>
    <mergeCell ref="A112:B112"/>
    <mergeCell ref="A113:B113"/>
    <mergeCell ref="AC98:AC108"/>
    <mergeCell ref="A100:A104"/>
    <mergeCell ref="I105:J105"/>
    <mergeCell ref="K105:L105"/>
    <mergeCell ref="M99:N99"/>
    <mergeCell ref="E99:F99"/>
    <mergeCell ref="G99:H99"/>
    <mergeCell ref="I99:J99"/>
    <mergeCell ref="K99:L99"/>
    <mergeCell ref="A106:A110"/>
    <mergeCell ref="Y99:Z99"/>
    <mergeCell ref="W99:X99"/>
    <mergeCell ref="U99:V99"/>
    <mergeCell ref="O99:P99"/>
    <mergeCell ref="A72:A76"/>
    <mergeCell ref="A78:A82"/>
    <mergeCell ref="A84:A88"/>
    <mergeCell ref="I71:J71"/>
    <mergeCell ref="K71:L71"/>
    <mergeCell ref="K77:L77"/>
    <mergeCell ref="C77:D77"/>
    <mergeCell ref="C83:D83"/>
    <mergeCell ref="G71:H71"/>
    <mergeCell ref="E71:F71"/>
  </mergeCells>
  <phoneticPr fontId="60" type="noConversion"/>
  <printOptions horizontalCentered="1" verticalCentered="1"/>
  <pageMargins left="0.39370078740157483" right="0.39370078740157483" top="0.55118110236220474" bottom="0.31496062992125984" header="0.31496062992125984" footer="0.31496062992125984"/>
  <pageSetup paperSize="9" scale="57" orientation="landscape" r:id="rId2"/>
  <headerFooter differentOddEven="1" differentFirst="1">
    <oddHeader>&amp;L&amp;G&amp;C&amp;"-,Negrito"Prontos Socorros Municipais de Taboão da Serra 
SPDM - Associação Paulista para o Desenvolvimento da Medicina&amp;R&amp;G</oddHeader>
    <oddFooter>&amp;R12</oddFooter>
    <evenHeader>&amp;C&amp;"-,Negrito"Prontos Socorros Municipais de Taboão da Serra 
SPDM - Associação Paulista para o Desenvolvimento da Medicina</evenHeader>
    <evenFooter>&amp;R12</evenFooter>
    <firstHeader>&amp;L&amp;G&amp;C&amp;"-,Negrito"Prontos Socorros Municipais de Taboão da Serra 
SPDM - Associação Paulista para o Desenvolvimento da Medicina&amp;R&amp;G</firstHeader>
    <firstFooter>&amp;R12</firstFooter>
  </headerFooter>
  <rowBreaks count="1" manualBreakCount="1">
    <brk id="63" max="27" man="1"/>
  </rowBreaks>
  <drawing r:id="rId3"/>
  <legacyDrawingHF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6A35D-F68F-43D6-9C1A-F4EBEC48437C}">
  <sheetPr>
    <tabColor theme="1"/>
    <pageSetUpPr fitToPage="1"/>
  </sheetPr>
  <dimension ref="A2:Q34"/>
  <sheetViews>
    <sheetView showGridLines="0" tabSelected="1" view="pageBreakPreview" topLeftCell="A17" zoomScale="80" zoomScaleNormal="100" zoomScaleSheetLayoutView="80" workbookViewId="0">
      <selection activeCell="F33" sqref="F33"/>
    </sheetView>
  </sheetViews>
  <sheetFormatPr defaultRowHeight="14.3"/>
  <cols>
    <col min="1" max="1" width="38.875" customWidth="1"/>
    <col min="2" max="2" width="13.75" style="13" customWidth="1"/>
    <col min="3" max="3" width="8" style="13" customWidth="1"/>
    <col min="4" max="4" width="9.625" style="13" bestFit="1" customWidth="1"/>
    <col min="5" max="6" width="7.625" style="13" customWidth="1"/>
    <col min="7" max="7" width="7.125" style="13" customWidth="1"/>
    <col min="8" max="8" width="7.625" style="13" customWidth="1"/>
    <col min="9" max="9" width="6.75" style="13" customWidth="1"/>
    <col min="10" max="10" width="8.375" style="13" customWidth="1"/>
    <col min="11" max="11" width="9.375" style="13" customWidth="1"/>
    <col min="12" max="12" width="9.125" style="13" customWidth="1"/>
    <col min="13" max="13" width="10.375" style="13" bestFit="1" customWidth="1"/>
    <col min="14" max="14" width="10.125" style="13" bestFit="1" customWidth="1"/>
    <col min="15" max="15" width="8.125" style="13" bestFit="1" customWidth="1"/>
    <col min="16" max="16" width="7.875" style="13" customWidth="1"/>
    <col min="17" max="17" width="8.125" style="13" bestFit="1" customWidth="1"/>
  </cols>
  <sheetData>
    <row r="2" spans="1:17" ht="14.95" customHeight="1">
      <c r="A2" s="737" t="s">
        <v>213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</row>
    <row r="3" spans="1:17" ht="14.95" customHeight="1">
      <c r="A3" s="737"/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</row>
    <row r="4" spans="1:17" ht="14.95" customHeight="1">
      <c r="A4" s="738" t="s">
        <v>214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</row>
    <row r="5" spans="1:17">
      <c r="A5" s="738"/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</row>
    <row r="6" spans="1:17" ht="14.95" customHeight="1" thickBot="1">
      <c r="A6" s="739"/>
      <c r="B6" s="739"/>
      <c r="C6" s="739"/>
      <c r="D6" s="739"/>
    </row>
    <row r="7" spans="1:17" ht="20.05" customHeight="1" thickBot="1">
      <c r="A7" s="361" t="s">
        <v>173</v>
      </c>
      <c r="O7" s="740">
        <v>2022</v>
      </c>
      <c r="P7" s="741"/>
      <c r="Q7" s="742"/>
    </row>
    <row r="8" spans="1:17" ht="20.05" customHeight="1" thickBot="1">
      <c r="A8" s="727"/>
      <c r="B8" s="729" t="s">
        <v>215</v>
      </c>
      <c r="C8" s="380" t="s">
        <v>30</v>
      </c>
      <c r="D8" s="380" t="s">
        <v>31</v>
      </c>
      <c r="E8" s="380" t="s">
        <v>2</v>
      </c>
      <c r="F8" s="380" t="s">
        <v>32</v>
      </c>
      <c r="G8" s="380" t="s">
        <v>33</v>
      </c>
      <c r="H8" s="380" t="s">
        <v>54</v>
      </c>
      <c r="I8" s="380" t="s">
        <v>55</v>
      </c>
      <c r="J8" s="380" t="s">
        <v>56</v>
      </c>
      <c r="K8" s="380" t="s">
        <v>57</v>
      </c>
      <c r="L8" s="380" t="s">
        <v>58</v>
      </c>
      <c r="M8" s="380" t="s">
        <v>59</v>
      </c>
      <c r="N8" s="380" t="s">
        <v>60</v>
      </c>
      <c r="O8" s="731" t="s">
        <v>216</v>
      </c>
      <c r="P8" s="732"/>
      <c r="Q8" s="733"/>
    </row>
    <row r="9" spans="1:17" ht="27.7" customHeight="1" thickBot="1">
      <c r="A9" s="728"/>
      <c r="B9" s="730"/>
      <c r="C9" s="362" t="s">
        <v>217</v>
      </c>
      <c r="D9" s="362" t="s">
        <v>217</v>
      </c>
      <c r="E9" s="362" t="s">
        <v>217</v>
      </c>
      <c r="F9" s="362" t="s">
        <v>217</v>
      </c>
      <c r="G9" s="362" t="s">
        <v>217</v>
      </c>
      <c r="H9" s="362" t="s">
        <v>217</v>
      </c>
      <c r="I9" s="362" t="s">
        <v>217</v>
      </c>
      <c r="J9" s="362" t="s">
        <v>217</v>
      </c>
      <c r="K9" s="362" t="s">
        <v>217</v>
      </c>
      <c r="L9" s="362" t="s">
        <v>217</v>
      </c>
      <c r="M9" s="362" t="s">
        <v>217</v>
      </c>
      <c r="N9" s="362" t="s">
        <v>217</v>
      </c>
      <c r="O9" s="734" t="s">
        <v>217</v>
      </c>
      <c r="P9" s="735"/>
      <c r="Q9" s="736"/>
    </row>
    <row r="10" spans="1:17" ht="20.05" customHeight="1" thickBot="1">
      <c r="A10" s="363" t="s">
        <v>35</v>
      </c>
      <c r="B10" s="364"/>
      <c r="C10" s="365">
        <v>24591</v>
      </c>
      <c r="D10" s="365">
        <v>13685</v>
      </c>
      <c r="E10" s="365">
        <v>19275</v>
      </c>
      <c r="F10" s="365">
        <v>18988</v>
      </c>
      <c r="G10" s="365">
        <v>22066</v>
      </c>
      <c r="H10" s="365">
        <v>24208</v>
      </c>
      <c r="I10" s="365">
        <v>21215</v>
      </c>
      <c r="J10" s="365">
        <v>19985</v>
      </c>
      <c r="K10" s="365">
        <v>19867</v>
      </c>
      <c r="L10" s="365">
        <v>22430</v>
      </c>
      <c r="M10" s="365">
        <v>23937</v>
      </c>
      <c r="N10" s="35">
        <f>12242+8159</f>
        <v>20401</v>
      </c>
      <c r="O10" s="724">
        <f>SUM(C10:N10)</f>
        <v>250648</v>
      </c>
      <c r="P10" s="725"/>
      <c r="Q10" s="726"/>
    </row>
    <row r="11" spans="1:17" ht="20.05" customHeight="1" thickBot="1">
      <c r="A11" s="363" t="s">
        <v>36</v>
      </c>
      <c r="B11" s="367"/>
      <c r="C11" s="365">
        <v>2526</v>
      </c>
      <c r="D11" s="365">
        <v>2522</v>
      </c>
      <c r="E11" s="365">
        <v>2634</v>
      </c>
      <c r="F11" s="365">
        <v>2378</v>
      </c>
      <c r="G11" s="365">
        <v>2211</v>
      </c>
      <c r="H11" s="365">
        <v>2088</v>
      </c>
      <c r="I11" s="365">
        <v>2152</v>
      </c>
      <c r="J11" s="365">
        <v>2230</v>
      </c>
      <c r="K11" s="365">
        <v>2514</v>
      </c>
      <c r="L11" s="365">
        <v>2344</v>
      </c>
      <c r="M11" s="365">
        <v>2287</v>
      </c>
      <c r="N11" s="366">
        <v>2301</v>
      </c>
      <c r="O11" s="724">
        <f t="shared" ref="O11:O13" si="0">SUM(C11:N11)</f>
        <v>28187</v>
      </c>
      <c r="P11" s="725"/>
      <c r="Q11" s="726"/>
    </row>
    <row r="12" spans="1:17" ht="20.05" customHeight="1" thickBot="1">
      <c r="A12" s="363" t="s">
        <v>40</v>
      </c>
      <c r="B12" s="364"/>
      <c r="C12" s="365">
        <v>7759</v>
      </c>
      <c r="D12" s="365">
        <v>6812</v>
      </c>
      <c r="E12" s="365">
        <v>9871</v>
      </c>
      <c r="F12" s="365">
        <v>10573</v>
      </c>
      <c r="G12" s="365">
        <v>12356</v>
      </c>
      <c r="H12" s="365">
        <v>12152</v>
      </c>
      <c r="I12" s="365">
        <v>7550</v>
      </c>
      <c r="J12" s="365">
        <v>7249</v>
      </c>
      <c r="K12" s="365">
        <v>7931</v>
      </c>
      <c r="L12" s="365">
        <v>9793</v>
      </c>
      <c r="M12" s="365">
        <v>9463</v>
      </c>
      <c r="N12" s="365">
        <v>6936</v>
      </c>
      <c r="O12" s="724">
        <f t="shared" si="0"/>
        <v>108445</v>
      </c>
      <c r="P12" s="725"/>
      <c r="Q12" s="726"/>
    </row>
    <row r="13" spans="1:17" ht="20.05" customHeight="1" thickBot="1">
      <c r="A13" s="363" t="s">
        <v>179</v>
      </c>
      <c r="B13" s="364"/>
      <c r="C13" s="365">
        <v>1619</v>
      </c>
      <c r="D13" s="365">
        <v>1318</v>
      </c>
      <c r="E13" s="365">
        <v>1434</v>
      </c>
      <c r="F13" s="365">
        <v>1273</v>
      </c>
      <c r="G13" s="365">
        <v>1123</v>
      </c>
      <c r="H13" s="365">
        <v>1143</v>
      </c>
      <c r="I13" s="365">
        <v>1092</v>
      </c>
      <c r="J13" s="365">
        <v>1002</v>
      </c>
      <c r="K13" s="365">
        <v>1372</v>
      </c>
      <c r="L13" s="365">
        <v>1183</v>
      </c>
      <c r="M13" s="365">
        <v>1273</v>
      </c>
      <c r="N13" s="365">
        <v>1068</v>
      </c>
      <c r="O13" s="724">
        <f t="shared" si="0"/>
        <v>14900</v>
      </c>
      <c r="P13" s="725"/>
      <c r="Q13" s="726"/>
    </row>
    <row r="14" spans="1:17" ht="20.05" customHeight="1" thickBot="1">
      <c r="A14" s="368" t="s">
        <v>16</v>
      </c>
      <c r="B14" s="369">
        <v>41800</v>
      </c>
      <c r="C14" s="369">
        <f t="shared" ref="C14:N14" si="1">SUM(C10:C13)</f>
        <v>36495</v>
      </c>
      <c r="D14" s="369">
        <f t="shared" si="1"/>
        <v>24337</v>
      </c>
      <c r="E14" s="369">
        <f t="shared" si="1"/>
        <v>33214</v>
      </c>
      <c r="F14" s="369">
        <f t="shared" si="1"/>
        <v>33212</v>
      </c>
      <c r="G14" s="369">
        <f t="shared" si="1"/>
        <v>37756</v>
      </c>
      <c r="H14" s="369">
        <f t="shared" si="1"/>
        <v>39591</v>
      </c>
      <c r="I14" s="369">
        <f t="shared" si="1"/>
        <v>32009</v>
      </c>
      <c r="J14" s="369">
        <f t="shared" si="1"/>
        <v>30466</v>
      </c>
      <c r="K14" s="369">
        <f t="shared" si="1"/>
        <v>31684</v>
      </c>
      <c r="L14" s="369">
        <f t="shared" si="1"/>
        <v>35750</v>
      </c>
      <c r="M14" s="369">
        <f t="shared" si="1"/>
        <v>36960</v>
      </c>
      <c r="N14" s="369">
        <f t="shared" si="1"/>
        <v>30706</v>
      </c>
      <c r="O14" s="720">
        <f>SUM(C14:N14)</f>
        <v>402180</v>
      </c>
      <c r="P14" s="721"/>
      <c r="Q14" s="722"/>
    </row>
    <row r="15" spans="1:17" ht="20.05" customHeight="1" thickBot="1">
      <c r="A15" s="370"/>
    </row>
    <row r="16" spans="1:17" ht="20.05" customHeight="1" thickBot="1">
      <c r="A16" s="361" t="s">
        <v>218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</row>
    <row r="17" spans="1:17" ht="20.05" customHeight="1" thickBot="1">
      <c r="A17" s="727"/>
      <c r="B17" s="729" t="s">
        <v>215</v>
      </c>
      <c r="C17" s="380" t="s">
        <v>30</v>
      </c>
      <c r="D17" s="380" t="s">
        <v>31</v>
      </c>
      <c r="E17" s="380" t="s">
        <v>2</v>
      </c>
      <c r="F17" s="380" t="s">
        <v>32</v>
      </c>
      <c r="G17" s="380" t="s">
        <v>33</v>
      </c>
      <c r="H17" s="380" t="s">
        <v>54</v>
      </c>
      <c r="I17" s="380" t="s">
        <v>55</v>
      </c>
      <c r="J17" s="380" t="s">
        <v>56</v>
      </c>
      <c r="K17" s="380" t="s">
        <v>57</v>
      </c>
      <c r="L17" s="380" t="s">
        <v>58</v>
      </c>
      <c r="M17" s="380" t="s">
        <v>59</v>
      </c>
      <c r="N17" s="380" t="s">
        <v>60</v>
      </c>
      <c r="O17" s="731" t="s">
        <v>216</v>
      </c>
      <c r="P17" s="732"/>
      <c r="Q17" s="733"/>
    </row>
    <row r="18" spans="1:17" ht="25.5" customHeight="1" thickBot="1">
      <c r="A18" s="728"/>
      <c r="B18" s="730"/>
      <c r="C18" s="372" t="s">
        <v>217</v>
      </c>
      <c r="D18" s="372" t="s">
        <v>217</v>
      </c>
      <c r="E18" s="372" t="s">
        <v>217</v>
      </c>
      <c r="F18" s="372" t="s">
        <v>217</v>
      </c>
      <c r="G18" s="372" t="s">
        <v>217</v>
      </c>
      <c r="H18" s="372" t="s">
        <v>217</v>
      </c>
      <c r="I18" s="372" t="s">
        <v>217</v>
      </c>
      <c r="J18" s="372" t="s">
        <v>217</v>
      </c>
      <c r="K18" s="372" t="s">
        <v>217</v>
      </c>
      <c r="L18" s="372" t="s">
        <v>217</v>
      </c>
      <c r="M18" s="372" t="s">
        <v>217</v>
      </c>
      <c r="N18" s="372" t="s">
        <v>217</v>
      </c>
      <c r="O18" s="734" t="s">
        <v>217</v>
      </c>
      <c r="P18" s="735"/>
      <c r="Q18" s="736"/>
    </row>
    <row r="19" spans="1:17" ht="20.05" customHeight="1" thickBot="1">
      <c r="A19" s="363" t="s">
        <v>38</v>
      </c>
      <c r="B19" s="364"/>
      <c r="C19" s="366">
        <v>62</v>
      </c>
      <c r="D19" s="366">
        <v>69</v>
      </c>
      <c r="E19" s="366">
        <v>71</v>
      </c>
      <c r="F19" s="366">
        <v>86</v>
      </c>
      <c r="G19" s="366">
        <v>61</v>
      </c>
      <c r="H19" s="366">
        <v>67</v>
      </c>
      <c r="I19" s="366">
        <v>73</v>
      </c>
      <c r="J19" s="366">
        <v>87</v>
      </c>
      <c r="K19" s="366">
        <v>69</v>
      </c>
      <c r="L19" s="366">
        <v>72</v>
      </c>
      <c r="M19" s="366">
        <v>86</v>
      </c>
      <c r="N19" s="366">
        <v>64</v>
      </c>
      <c r="O19" s="724">
        <f>SUM(C19:N19)</f>
        <v>867</v>
      </c>
      <c r="P19" s="725"/>
      <c r="Q19" s="726"/>
    </row>
    <row r="20" spans="1:17" ht="20.05" customHeight="1" thickBot="1">
      <c r="A20" s="363" t="s">
        <v>39</v>
      </c>
      <c r="B20" s="367"/>
      <c r="C20" s="366">
        <v>7</v>
      </c>
      <c r="D20" s="366">
        <v>13</v>
      </c>
      <c r="E20" s="366">
        <v>7</v>
      </c>
      <c r="F20" s="366">
        <v>8</v>
      </c>
      <c r="G20" s="366">
        <v>9</v>
      </c>
      <c r="H20" s="366">
        <v>8</v>
      </c>
      <c r="I20" s="366">
        <v>7</v>
      </c>
      <c r="J20" s="366">
        <v>8</v>
      </c>
      <c r="K20" s="366">
        <v>5</v>
      </c>
      <c r="L20" s="366">
        <v>11</v>
      </c>
      <c r="M20" s="366">
        <v>6</v>
      </c>
      <c r="N20" s="366">
        <v>11</v>
      </c>
      <c r="O20" s="724">
        <f t="shared" ref="O20:O22" si="2">SUM(C20:N20)</f>
        <v>100</v>
      </c>
      <c r="P20" s="725"/>
      <c r="Q20" s="726"/>
    </row>
    <row r="21" spans="1:17" ht="20.05" customHeight="1" thickBot="1">
      <c r="A21" s="363" t="s">
        <v>40</v>
      </c>
      <c r="B21" s="364"/>
      <c r="C21" s="366">
        <v>92</v>
      </c>
      <c r="D21" s="366">
        <v>92</v>
      </c>
      <c r="E21" s="366">
        <f>86+63</f>
        <v>149</v>
      </c>
      <c r="F21" s="366">
        <v>153</v>
      </c>
      <c r="G21" s="366">
        <f>150+30</f>
        <v>180</v>
      </c>
      <c r="H21" s="366">
        <f>137</f>
        <v>137</v>
      </c>
      <c r="I21" s="366">
        <v>96</v>
      </c>
      <c r="J21" s="366">
        <v>118</v>
      </c>
      <c r="K21" s="366">
        <v>82</v>
      </c>
      <c r="L21" s="366">
        <v>115</v>
      </c>
      <c r="M21" s="366">
        <v>114</v>
      </c>
      <c r="N21" s="366">
        <v>94</v>
      </c>
      <c r="O21" s="724">
        <f t="shared" si="2"/>
        <v>1422</v>
      </c>
      <c r="P21" s="725"/>
      <c r="Q21" s="726"/>
    </row>
    <row r="22" spans="1:17" ht="20.05" customHeight="1" thickBot="1">
      <c r="A22" s="363" t="s">
        <v>35</v>
      </c>
      <c r="B22" s="364"/>
      <c r="C22" s="366">
        <f>128+163</f>
        <v>291</v>
      </c>
      <c r="D22" s="366">
        <f>127+70</f>
        <v>197</v>
      </c>
      <c r="E22" s="366">
        <f>134+78</f>
        <v>212</v>
      </c>
      <c r="F22" s="366">
        <f>129+66</f>
        <v>195</v>
      </c>
      <c r="G22" s="366">
        <f>145+104</f>
        <v>249</v>
      </c>
      <c r="H22" s="366">
        <f>147</f>
        <v>147</v>
      </c>
      <c r="I22" s="366">
        <v>151</v>
      </c>
      <c r="J22" s="366">
        <v>139</v>
      </c>
      <c r="K22" s="366">
        <v>167</v>
      </c>
      <c r="L22" s="366">
        <v>156</v>
      </c>
      <c r="M22" s="366">
        <v>155</v>
      </c>
      <c r="N22" s="366">
        <v>147</v>
      </c>
      <c r="O22" s="724">
        <f t="shared" si="2"/>
        <v>2206</v>
      </c>
      <c r="P22" s="725"/>
      <c r="Q22" s="726"/>
    </row>
    <row r="23" spans="1:17" ht="20.05" customHeight="1" thickBot="1">
      <c r="A23" s="373" t="s">
        <v>16</v>
      </c>
      <c r="B23" s="372">
        <v>390</v>
      </c>
      <c r="C23" s="372">
        <f>SUM(C19:C22)</f>
        <v>452</v>
      </c>
      <c r="D23" s="372">
        <f t="shared" ref="D23:N23" si="3">SUM(D19:D22)</f>
        <v>371</v>
      </c>
      <c r="E23" s="372">
        <f t="shared" si="3"/>
        <v>439</v>
      </c>
      <c r="F23" s="372">
        <f t="shared" si="3"/>
        <v>442</v>
      </c>
      <c r="G23" s="372">
        <f t="shared" si="3"/>
        <v>499</v>
      </c>
      <c r="H23" s="372">
        <f t="shared" si="3"/>
        <v>359</v>
      </c>
      <c r="I23" s="372">
        <f t="shared" si="3"/>
        <v>327</v>
      </c>
      <c r="J23" s="372">
        <f t="shared" si="3"/>
        <v>352</v>
      </c>
      <c r="K23" s="372">
        <f t="shared" si="3"/>
        <v>323</v>
      </c>
      <c r="L23" s="372">
        <f t="shared" si="3"/>
        <v>354</v>
      </c>
      <c r="M23" s="372">
        <f t="shared" si="3"/>
        <v>361</v>
      </c>
      <c r="N23" s="372">
        <f t="shared" si="3"/>
        <v>316</v>
      </c>
      <c r="O23" s="720">
        <f>SUM(C23:N23)</f>
        <v>4595</v>
      </c>
      <c r="P23" s="721"/>
      <c r="Q23" s="722"/>
    </row>
    <row r="24" spans="1:17" ht="20.05" customHeight="1">
      <c r="A24" s="370"/>
    </row>
    <row r="25" spans="1:17" ht="20.05" customHeight="1" thickBot="1">
      <c r="A25" s="371" t="s">
        <v>219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</row>
    <row r="26" spans="1:17" ht="32.950000000000003" customHeight="1" thickBot="1">
      <c r="A26" s="727"/>
      <c r="B26" s="729" t="s">
        <v>215</v>
      </c>
      <c r="C26" s="380" t="s">
        <v>30</v>
      </c>
      <c r="D26" s="380" t="s">
        <v>31</v>
      </c>
      <c r="E26" s="380" t="s">
        <v>2</v>
      </c>
      <c r="F26" s="380" t="s">
        <v>32</v>
      </c>
      <c r="G26" s="380" t="s">
        <v>33</v>
      </c>
      <c r="H26" s="380" t="s">
        <v>54</v>
      </c>
      <c r="I26" s="380" t="s">
        <v>55</v>
      </c>
      <c r="J26" s="380" t="s">
        <v>56</v>
      </c>
      <c r="K26" s="380" t="s">
        <v>57</v>
      </c>
      <c r="L26" s="380" t="s">
        <v>58</v>
      </c>
      <c r="M26" s="380" t="s">
        <v>59</v>
      </c>
      <c r="N26" s="380" t="s">
        <v>60</v>
      </c>
      <c r="O26" s="731" t="s">
        <v>216</v>
      </c>
      <c r="P26" s="732"/>
      <c r="Q26" s="733"/>
    </row>
    <row r="27" spans="1:17" ht="20.05" customHeight="1" thickBot="1">
      <c r="A27" s="728"/>
      <c r="B27" s="730"/>
      <c r="C27" s="372" t="s">
        <v>217</v>
      </c>
      <c r="D27" s="372" t="s">
        <v>217</v>
      </c>
      <c r="E27" s="372" t="s">
        <v>217</v>
      </c>
      <c r="F27" s="372" t="s">
        <v>217</v>
      </c>
      <c r="G27" s="372" t="s">
        <v>217</v>
      </c>
      <c r="H27" s="372" t="s">
        <v>217</v>
      </c>
      <c r="I27" s="372" t="s">
        <v>217</v>
      </c>
      <c r="J27" s="372" t="s">
        <v>217</v>
      </c>
      <c r="K27" s="372" t="s">
        <v>217</v>
      </c>
      <c r="L27" s="372" t="s">
        <v>217</v>
      </c>
      <c r="M27" s="372" t="s">
        <v>217</v>
      </c>
      <c r="N27" s="372" t="s">
        <v>217</v>
      </c>
      <c r="O27" s="372" t="s">
        <v>220</v>
      </c>
      <c r="P27" s="372" t="s">
        <v>217</v>
      </c>
      <c r="Q27" s="372" t="s">
        <v>34</v>
      </c>
    </row>
    <row r="28" spans="1:17" ht="20.05" customHeight="1" thickBot="1">
      <c r="A28" s="363" t="s">
        <v>173</v>
      </c>
      <c r="B28" s="374">
        <v>41800</v>
      </c>
      <c r="C28" s="365">
        <f>C14</f>
        <v>36495</v>
      </c>
      <c r="D28" s="365">
        <f>D14</f>
        <v>24337</v>
      </c>
      <c r="E28" s="365">
        <f t="shared" ref="E28:N28" si="4">E14</f>
        <v>33214</v>
      </c>
      <c r="F28" s="365">
        <f t="shared" si="4"/>
        <v>33212</v>
      </c>
      <c r="G28" s="365">
        <f t="shared" si="4"/>
        <v>37756</v>
      </c>
      <c r="H28" s="365">
        <f t="shared" si="4"/>
        <v>39591</v>
      </c>
      <c r="I28" s="365">
        <f t="shared" si="4"/>
        <v>32009</v>
      </c>
      <c r="J28" s="365">
        <f t="shared" si="4"/>
        <v>30466</v>
      </c>
      <c r="K28" s="365">
        <f t="shared" si="4"/>
        <v>31684</v>
      </c>
      <c r="L28" s="365">
        <f t="shared" si="4"/>
        <v>35750</v>
      </c>
      <c r="M28" s="365">
        <f t="shared" si="4"/>
        <v>36960</v>
      </c>
      <c r="N28" s="365">
        <f t="shared" si="4"/>
        <v>30706</v>
      </c>
      <c r="O28" s="374">
        <v>501600</v>
      </c>
      <c r="P28" s="375">
        <f>SUM(C28:N28)</f>
        <v>402180</v>
      </c>
      <c r="Q28" s="376">
        <f>P28/O28</f>
        <v>0.80179425837320573</v>
      </c>
    </row>
    <row r="29" spans="1:17" ht="20.05" customHeight="1" thickBot="1">
      <c r="A29" s="363" t="s">
        <v>221</v>
      </c>
      <c r="B29" s="377">
        <v>390</v>
      </c>
      <c r="C29" s="366">
        <f>C23</f>
        <v>452</v>
      </c>
      <c r="D29" s="366">
        <f>D23</f>
        <v>371</v>
      </c>
      <c r="E29" s="366">
        <f t="shared" ref="E29:N29" si="5">E23</f>
        <v>439</v>
      </c>
      <c r="F29" s="366">
        <f t="shared" si="5"/>
        <v>442</v>
      </c>
      <c r="G29" s="366">
        <f t="shared" si="5"/>
        <v>499</v>
      </c>
      <c r="H29" s="366">
        <f t="shared" si="5"/>
        <v>359</v>
      </c>
      <c r="I29" s="366">
        <f t="shared" si="5"/>
        <v>327</v>
      </c>
      <c r="J29" s="366">
        <f t="shared" si="5"/>
        <v>352</v>
      </c>
      <c r="K29" s="366">
        <f t="shared" si="5"/>
        <v>323</v>
      </c>
      <c r="L29" s="366">
        <f t="shared" si="5"/>
        <v>354</v>
      </c>
      <c r="M29" s="366">
        <f t="shared" si="5"/>
        <v>361</v>
      </c>
      <c r="N29" s="366">
        <f t="shared" si="5"/>
        <v>316</v>
      </c>
      <c r="O29" s="374">
        <v>4680</v>
      </c>
      <c r="P29" s="378">
        <f t="shared" ref="P29" si="6">SUM(C29:N29)</f>
        <v>4595</v>
      </c>
      <c r="Q29" s="376">
        <f>P29/O29</f>
        <v>0.98183760683760679</v>
      </c>
    </row>
    <row r="30" spans="1:17">
      <c r="A30" s="379"/>
    </row>
    <row r="31" spans="1:17" ht="27.85" customHeight="1">
      <c r="A31" s="723" t="s">
        <v>222</v>
      </c>
      <c r="B31" s="723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3"/>
      <c r="P31" s="723"/>
      <c r="Q31" s="723"/>
    </row>
    <row r="32" spans="1:17">
      <c r="A32" s="381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</row>
    <row r="33" spans="1:17">
      <c r="A33" s="382" t="s">
        <v>223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>
      <c r="A34" s="382" t="s">
        <v>269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</sheetData>
  <mergeCells count="26">
    <mergeCell ref="O10:Q10"/>
    <mergeCell ref="O11:Q11"/>
    <mergeCell ref="O12:Q12"/>
    <mergeCell ref="O13:Q13"/>
    <mergeCell ref="A2:Q3"/>
    <mergeCell ref="A4:Q5"/>
    <mergeCell ref="A6:D6"/>
    <mergeCell ref="O7:Q7"/>
    <mergeCell ref="A8:A9"/>
    <mergeCell ref="B8:B9"/>
    <mergeCell ref="O8:Q8"/>
    <mergeCell ref="O9:Q9"/>
    <mergeCell ref="O14:Q14"/>
    <mergeCell ref="A31:Q31"/>
    <mergeCell ref="O19:Q19"/>
    <mergeCell ref="O20:Q20"/>
    <mergeCell ref="O21:Q21"/>
    <mergeCell ref="O22:Q22"/>
    <mergeCell ref="O23:Q23"/>
    <mergeCell ref="A26:A27"/>
    <mergeCell ref="B26:B27"/>
    <mergeCell ref="O26:Q26"/>
    <mergeCell ref="A17:A18"/>
    <mergeCell ref="B17:B18"/>
    <mergeCell ref="O17:Q17"/>
    <mergeCell ref="O18:Q18"/>
  </mergeCells>
  <pageMargins left="0.78740157480314965" right="0.78740157480314965" top="0.98425196850393704" bottom="0.98425196850393704" header="0.51181102362204722" footer="0.51181102362204722"/>
  <pageSetup paperSize="9" scale="6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0A8F-A37A-4CB9-85F3-54751004648B}">
  <sheetPr>
    <tabColor theme="1"/>
    <pageSetUpPr fitToPage="1"/>
  </sheetPr>
  <dimension ref="A1:AB60"/>
  <sheetViews>
    <sheetView view="pageBreakPreview" zoomScaleNormal="100" zoomScaleSheetLayoutView="100" workbookViewId="0">
      <selection activeCell="AC26" sqref="AC26"/>
    </sheetView>
  </sheetViews>
  <sheetFormatPr defaultRowHeight="14.3"/>
  <cols>
    <col min="3" max="3" width="39.625" bestFit="1" customWidth="1"/>
    <col min="4" max="4" width="6.625" customWidth="1"/>
    <col min="5" max="5" width="6.875" bestFit="1" customWidth="1"/>
    <col min="6" max="6" width="6.75" customWidth="1"/>
    <col min="7" max="7" width="1.375" customWidth="1"/>
    <col min="8" max="8" width="8" bestFit="1" customWidth="1"/>
    <col min="9" max="10" width="7.625" bestFit="1" customWidth="1"/>
    <col min="11" max="11" width="1" customWidth="1"/>
    <col min="12" max="12" width="6.75" customWidth="1"/>
    <col min="13" max="13" width="6.875" bestFit="1" customWidth="1"/>
    <col min="14" max="14" width="6.625" customWidth="1"/>
    <col min="15" max="15" width="1" customWidth="1"/>
    <col min="16" max="18" width="6.875" bestFit="1" customWidth="1"/>
    <col min="19" max="19" width="1.125" customWidth="1"/>
    <col min="20" max="22" width="6.875" bestFit="1" customWidth="1"/>
    <col min="23" max="23" width="1.125" customWidth="1"/>
    <col min="24" max="26" width="6.875" bestFit="1" customWidth="1"/>
    <col min="27" max="27" width="1.125" customWidth="1"/>
    <col min="31" max="31" width="95.875" bestFit="1" customWidth="1"/>
  </cols>
  <sheetData>
    <row r="1" spans="1:28">
      <c r="A1" s="17"/>
      <c r="B1" s="17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2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6.3">
      <c r="A2" s="17"/>
      <c r="B2" s="745" t="s">
        <v>224</v>
      </c>
      <c r="C2" s="745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5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385">
        <v>2022</v>
      </c>
      <c r="AA2" s="386"/>
      <c r="AB2" s="17"/>
    </row>
    <row r="3" spans="1:28" ht="16.3">
      <c r="A3" s="17"/>
      <c r="B3" s="747"/>
      <c r="C3" s="747"/>
      <c r="D3" s="747" t="s">
        <v>225</v>
      </c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387"/>
      <c r="P3" s="747" t="s">
        <v>226</v>
      </c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388"/>
      <c r="AB3" s="17"/>
    </row>
    <row r="4" spans="1:28">
      <c r="A4" s="17"/>
      <c r="B4" s="748"/>
      <c r="C4" s="748"/>
      <c r="D4" s="748" t="s">
        <v>61</v>
      </c>
      <c r="E4" s="748"/>
      <c r="F4" s="748"/>
      <c r="G4" s="389"/>
      <c r="H4" s="748" t="s">
        <v>62</v>
      </c>
      <c r="I4" s="748"/>
      <c r="J4" s="748"/>
      <c r="K4" s="389"/>
      <c r="L4" s="748" t="s">
        <v>63</v>
      </c>
      <c r="M4" s="748"/>
      <c r="N4" s="748"/>
      <c r="O4" s="389"/>
      <c r="P4" s="748" t="s">
        <v>64</v>
      </c>
      <c r="Q4" s="748"/>
      <c r="R4" s="748"/>
      <c r="S4" s="389"/>
      <c r="T4" s="748" t="s">
        <v>65</v>
      </c>
      <c r="U4" s="748"/>
      <c r="V4" s="748"/>
      <c r="W4" s="389"/>
      <c r="X4" s="748" t="s">
        <v>66</v>
      </c>
      <c r="Y4" s="748"/>
      <c r="Z4" s="748"/>
      <c r="AA4" s="389"/>
      <c r="AB4" s="17"/>
    </row>
    <row r="5" spans="1:28">
      <c r="A5" s="17"/>
      <c r="B5" s="749"/>
      <c r="C5" s="750"/>
      <c r="D5" s="390" t="s">
        <v>18</v>
      </c>
      <c r="E5" s="390" t="s">
        <v>20</v>
      </c>
      <c r="F5" s="390" t="s">
        <v>19</v>
      </c>
      <c r="G5" s="391"/>
      <c r="H5" s="390" t="s">
        <v>18</v>
      </c>
      <c r="I5" s="390" t="s">
        <v>20</v>
      </c>
      <c r="J5" s="390" t="s">
        <v>19</v>
      </c>
      <c r="K5" s="391"/>
      <c r="L5" s="390" t="s">
        <v>18</v>
      </c>
      <c r="M5" s="390" t="s">
        <v>20</v>
      </c>
      <c r="N5" s="390" t="s">
        <v>19</v>
      </c>
      <c r="O5" s="391"/>
      <c r="P5" s="390" t="s">
        <v>18</v>
      </c>
      <c r="Q5" s="390" t="s">
        <v>20</v>
      </c>
      <c r="R5" s="390" t="s">
        <v>19</v>
      </c>
      <c r="S5" s="391"/>
      <c r="T5" s="390" t="s">
        <v>18</v>
      </c>
      <c r="U5" s="390" t="s">
        <v>20</v>
      </c>
      <c r="V5" s="390" t="s">
        <v>19</v>
      </c>
      <c r="W5" s="391"/>
      <c r="X5" s="390" t="s">
        <v>18</v>
      </c>
      <c r="Y5" s="390" t="s">
        <v>20</v>
      </c>
      <c r="Z5" s="390" t="s">
        <v>19</v>
      </c>
      <c r="AA5" s="391"/>
      <c r="AB5" s="17"/>
    </row>
    <row r="6" spans="1:28">
      <c r="A6" s="17"/>
      <c r="B6" s="751" t="s">
        <v>227</v>
      </c>
      <c r="C6" s="392" t="s">
        <v>228</v>
      </c>
      <c r="D6" s="393">
        <v>57</v>
      </c>
      <c r="E6" s="393">
        <v>15</v>
      </c>
      <c r="F6" s="393">
        <v>25</v>
      </c>
      <c r="G6" s="394"/>
      <c r="H6" s="393">
        <v>57</v>
      </c>
      <c r="I6" s="393">
        <v>15</v>
      </c>
      <c r="J6" s="393">
        <v>25</v>
      </c>
      <c r="K6" s="394"/>
      <c r="L6" s="393">
        <v>57</v>
      </c>
      <c r="M6" s="393">
        <v>15</v>
      </c>
      <c r="N6" s="393">
        <v>25</v>
      </c>
      <c r="O6" s="394"/>
      <c r="P6" s="393">
        <v>57</v>
      </c>
      <c r="Q6" s="393">
        <v>15</v>
      </c>
      <c r="R6" s="393">
        <v>25</v>
      </c>
      <c r="S6" s="394"/>
      <c r="T6" s="393">
        <v>57</v>
      </c>
      <c r="U6" s="393">
        <v>15</v>
      </c>
      <c r="V6" s="393">
        <v>25</v>
      </c>
      <c r="W6" s="394"/>
      <c r="X6" s="393">
        <v>0</v>
      </c>
      <c r="Y6" s="393">
        <v>0</v>
      </c>
      <c r="Z6" s="393">
        <v>0</v>
      </c>
      <c r="AA6" s="395"/>
      <c r="AB6" s="17"/>
    </row>
    <row r="7" spans="1:28">
      <c r="A7" s="17"/>
      <c r="B7" s="751"/>
      <c r="C7" s="396" t="s">
        <v>229</v>
      </c>
      <c r="D7" s="397">
        <v>1194</v>
      </c>
      <c r="E7" s="397">
        <v>280</v>
      </c>
      <c r="F7" s="393">
        <v>692</v>
      </c>
      <c r="G7" s="394"/>
      <c r="H7" s="398">
        <v>1141</v>
      </c>
      <c r="I7" s="393">
        <v>117</v>
      </c>
      <c r="J7" s="393">
        <v>390</v>
      </c>
      <c r="K7" s="394"/>
      <c r="L7" s="398">
        <v>1228</v>
      </c>
      <c r="M7" s="393">
        <v>70</v>
      </c>
      <c r="N7" s="393">
        <v>611</v>
      </c>
      <c r="O7" s="394"/>
      <c r="P7" s="398">
        <v>1283</v>
      </c>
      <c r="Q7" s="393">
        <v>140</v>
      </c>
      <c r="R7" s="393">
        <v>471</v>
      </c>
      <c r="S7" s="400"/>
      <c r="T7" s="398">
        <v>1257</v>
      </c>
      <c r="U7" s="393">
        <v>347</v>
      </c>
      <c r="V7" s="393">
        <v>492</v>
      </c>
      <c r="W7" s="400"/>
      <c r="X7" s="398">
        <v>0</v>
      </c>
      <c r="Y7" s="393">
        <v>0</v>
      </c>
      <c r="Z7" s="393">
        <v>0</v>
      </c>
      <c r="AA7" s="31"/>
      <c r="AB7" s="17"/>
    </row>
    <row r="8" spans="1:28">
      <c r="A8" s="17"/>
      <c r="B8" s="751"/>
      <c r="C8" s="392" t="s">
        <v>230</v>
      </c>
      <c r="D8" s="398">
        <v>1767</v>
      </c>
      <c r="E8" s="398">
        <v>465</v>
      </c>
      <c r="F8" s="393">
        <v>775</v>
      </c>
      <c r="G8" s="394"/>
      <c r="H8" s="398">
        <v>1596</v>
      </c>
      <c r="I8" s="398">
        <v>420</v>
      </c>
      <c r="J8" s="393">
        <v>700</v>
      </c>
      <c r="K8" s="394"/>
      <c r="L8" s="393">
        <v>1767</v>
      </c>
      <c r="M8" s="398">
        <v>465</v>
      </c>
      <c r="N8" s="393">
        <v>775</v>
      </c>
      <c r="O8" s="394"/>
      <c r="P8" s="393">
        <v>1710</v>
      </c>
      <c r="Q8" s="398">
        <v>450</v>
      </c>
      <c r="R8" s="393">
        <v>750</v>
      </c>
      <c r="S8" s="394"/>
      <c r="T8" s="393">
        <v>1767</v>
      </c>
      <c r="U8" s="398">
        <v>465</v>
      </c>
      <c r="V8" s="393">
        <v>775</v>
      </c>
      <c r="W8" s="394"/>
      <c r="X8" s="393">
        <v>0</v>
      </c>
      <c r="Y8" s="398">
        <v>0</v>
      </c>
      <c r="Z8" s="393">
        <v>0</v>
      </c>
      <c r="AA8" s="395"/>
      <c r="AB8" s="17"/>
    </row>
    <row r="9" spans="1:28">
      <c r="A9" s="17"/>
      <c r="B9" s="751"/>
      <c r="C9" s="392" t="s">
        <v>231</v>
      </c>
      <c r="D9" s="399">
        <v>31</v>
      </c>
      <c r="E9" s="399">
        <v>31</v>
      </c>
      <c r="F9" s="399">
        <v>31</v>
      </c>
      <c r="G9" s="400"/>
      <c r="H9" s="399">
        <v>28</v>
      </c>
      <c r="I9" s="399">
        <v>28</v>
      </c>
      <c r="J9" s="399">
        <v>28</v>
      </c>
      <c r="K9" s="400"/>
      <c r="L9" s="399">
        <v>31</v>
      </c>
      <c r="M9" s="399">
        <v>31</v>
      </c>
      <c r="N9" s="399">
        <v>31</v>
      </c>
      <c r="O9" s="400"/>
      <c r="P9" s="399">
        <v>30</v>
      </c>
      <c r="Q9" s="399">
        <v>30</v>
      </c>
      <c r="R9" s="399">
        <v>30</v>
      </c>
      <c r="S9" s="400"/>
      <c r="T9" s="399">
        <v>31</v>
      </c>
      <c r="U9" s="399">
        <v>31</v>
      </c>
      <c r="V9" s="399">
        <v>31</v>
      </c>
      <c r="W9" s="400"/>
      <c r="X9" s="399">
        <v>0</v>
      </c>
      <c r="Y9" s="399">
        <v>0</v>
      </c>
      <c r="Z9" s="399">
        <v>0</v>
      </c>
      <c r="AA9" s="31"/>
      <c r="AB9" s="17"/>
    </row>
    <row r="10" spans="1:28">
      <c r="A10" s="17"/>
      <c r="B10" s="751"/>
      <c r="C10" s="401" t="s">
        <v>232</v>
      </c>
      <c r="D10" s="402">
        <f t="shared" ref="D10:N10" si="0">D7/D9</f>
        <v>38.516129032258064</v>
      </c>
      <c r="E10" s="402">
        <f t="shared" si="0"/>
        <v>9.0322580645161299</v>
      </c>
      <c r="F10" s="402">
        <f t="shared" si="0"/>
        <v>22.322580645161292</v>
      </c>
      <c r="G10" s="403"/>
      <c r="H10" s="402">
        <f t="shared" si="0"/>
        <v>40.75</v>
      </c>
      <c r="I10" s="402">
        <f t="shared" si="0"/>
        <v>4.1785714285714288</v>
      </c>
      <c r="J10" s="402">
        <f t="shared" si="0"/>
        <v>13.928571428571429</v>
      </c>
      <c r="K10" s="403"/>
      <c r="L10" s="402">
        <f t="shared" si="0"/>
        <v>39.612903225806448</v>
      </c>
      <c r="M10" s="402">
        <f t="shared" si="0"/>
        <v>2.2580645161290325</v>
      </c>
      <c r="N10" s="404">
        <f t="shared" si="0"/>
        <v>19.70967741935484</v>
      </c>
      <c r="O10" s="400"/>
      <c r="P10" s="402">
        <f t="shared" ref="P10:R10" si="1">P7/P9</f>
        <v>42.766666666666666</v>
      </c>
      <c r="Q10" s="402">
        <f t="shared" si="1"/>
        <v>4.666666666666667</v>
      </c>
      <c r="R10" s="402">
        <f t="shared" si="1"/>
        <v>15.7</v>
      </c>
      <c r="S10" s="144"/>
      <c r="T10" s="402">
        <f t="shared" ref="T10:V10" si="2">T7/T9</f>
        <v>40.548387096774192</v>
      </c>
      <c r="U10" s="402">
        <f t="shared" si="2"/>
        <v>11.193548387096774</v>
      </c>
      <c r="V10" s="402">
        <f t="shared" si="2"/>
        <v>15.870967741935484</v>
      </c>
      <c r="W10" s="144"/>
      <c r="X10" s="402" t="e">
        <f t="shared" ref="X10:Z10" si="3">X7/X9</f>
        <v>#DIV/0!</v>
      </c>
      <c r="Y10" s="402" t="e">
        <f t="shared" si="3"/>
        <v>#DIV/0!</v>
      </c>
      <c r="Z10" s="402" t="e">
        <f t="shared" si="3"/>
        <v>#DIV/0!</v>
      </c>
      <c r="AA10" s="17"/>
      <c r="AB10" s="17"/>
    </row>
    <row r="11" spans="1:28">
      <c r="A11" s="17"/>
      <c r="B11" s="751"/>
      <c r="C11" s="401" t="s">
        <v>233</v>
      </c>
      <c r="D11" s="405">
        <f t="shared" ref="D11:N11" si="4">D8/D9</f>
        <v>57</v>
      </c>
      <c r="E11" s="405">
        <f t="shared" si="4"/>
        <v>15</v>
      </c>
      <c r="F11" s="405">
        <f t="shared" si="4"/>
        <v>25</v>
      </c>
      <c r="G11" s="403"/>
      <c r="H11" s="405">
        <f t="shared" si="4"/>
        <v>57</v>
      </c>
      <c r="I11" s="405">
        <f t="shared" si="4"/>
        <v>15</v>
      </c>
      <c r="J11" s="405">
        <f t="shared" si="4"/>
        <v>25</v>
      </c>
      <c r="K11" s="403"/>
      <c r="L11" s="405">
        <f t="shared" si="4"/>
        <v>57</v>
      </c>
      <c r="M11" s="405">
        <f t="shared" si="4"/>
        <v>15</v>
      </c>
      <c r="N11" s="405">
        <f t="shared" si="4"/>
        <v>25</v>
      </c>
      <c r="O11" s="400"/>
      <c r="P11" s="405">
        <f t="shared" ref="P11:R11" si="5">P8/P9</f>
        <v>57</v>
      </c>
      <c r="Q11" s="405">
        <f t="shared" si="5"/>
        <v>15</v>
      </c>
      <c r="R11" s="405">
        <f t="shared" si="5"/>
        <v>25</v>
      </c>
      <c r="S11" s="144"/>
      <c r="T11" s="405">
        <f t="shared" ref="T11:V11" si="6">T8/T9</f>
        <v>57</v>
      </c>
      <c r="U11" s="405">
        <f t="shared" si="6"/>
        <v>15</v>
      </c>
      <c r="V11" s="405">
        <f t="shared" si="6"/>
        <v>25</v>
      </c>
      <c r="W11" s="144"/>
      <c r="X11" s="405" t="e">
        <f t="shared" ref="X11:Z11" si="7">X8/X9</f>
        <v>#DIV/0!</v>
      </c>
      <c r="Y11" s="405" t="e">
        <f t="shared" si="7"/>
        <v>#DIV/0!</v>
      </c>
      <c r="Z11" s="405" t="e">
        <f t="shared" si="7"/>
        <v>#DIV/0!</v>
      </c>
      <c r="AA11" s="17"/>
      <c r="AB11" s="17"/>
    </row>
    <row r="12" spans="1:28">
      <c r="A12" s="17"/>
      <c r="B12" s="406"/>
      <c r="C12" s="407"/>
      <c r="D12" s="408"/>
      <c r="E12" s="408"/>
      <c r="F12" s="408"/>
      <c r="G12" s="409"/>
      <c r="H12" s="408"/>
      <c r="I12" s="408"/>
      <c r="J12" s="408"/>
      <c r="K12" s="409"/>
      <c r="L12" s="408"/>
      <c r="M12" s="408"/>
      <c r="N12" s="408"/>
      <c r="O12" s="409"/>
      <c r="P12" s="335"/>
      <c r="Q12" s="335"/>
      <c r="R12" s="335"/>
      <c r="S12" s="17"/>
      <c r="T12" s="335"/>
      <c r="U12" s="335"/>
      <c r="V12" s="335"/>
      <c r="W12" s="17"/>
      <c r="X12" s="335"/>
      <c r="Y12" s="335"/>
      <c r="Z12" s="335"/>
      <c r="AA12" s="17"/>
      <c r="AB12" s="17"/>
    </row>
    <row r="13" spans="1:28">
      <c r="A13" s="17"/>
      <c r="B13" s="752" t="s">
        <v>234</v>
      </c>
      <c r="C13" s="396" t="s">
        <v>235</v>
      </c>
      <c r="D13" s="398">
        <v>15894</v>
      </c>
      <c r="E13" s="398">
        <v>7759</v>
      </c>
      <c r="F13" s="398">
        <v>12842</v>
      </c>
      <c r="G13" s="394"/>
      <c r="H13" s="398">
        <v>13616</v>
      </c>
      <c r="I13" s="398">
        <v>6699</v>
      </c>
      <c r="J13" s="398">
        <v>4022</v>
      </c>
      <c r="K13" s="394"/>
      <c r="L13" s="398">
        <v>17164</v>
      </c>
      <c r="M13" s="398">
        <v>9803</v>
      </c>
      <c r="N13" s="398">
        <v>6247</v>
      </c>
      <c r="O13" s="394"/>
      <c r="P13" s="398">
        <v>15513</v>
      </c>
      <c r="Q13" s="398">
        <v>9545</v>
      </c>
      <c r="R13" s="398">
        <v>8154</v>
      </c>
      <c r="S13" s="394"/>
      <c r="T13" s="398">
        <v>16310</v>
      </c>
      <c r="U13" s="398">
        <v>10522</v>
      </c>
      <c r="V13" s="398">
        <v>10924</v>
      </c>
      <c r="W13" s="394"/>
      <c r="X13" s="398">
        <v>0</v>
      </c>
      <c r="Y13" s="398">
        <v>0</v>
      </c>
      <c r="Z13" s="398">
        <v>0</v>
      </c>
      <c r="AA13" s="395"/>
      <c r="AB13" s="17"/>
    </row>
    <row r="14" spans="1:28">
      <c r="A14" s="17"/>
      <c r="B14" s="753"/>
      <c r="C14" s="396" t="s">
        <v>236</v>
      </c>
      <c r="D14" s="397">
        <v>232</v>
      </c>
      <c r="E14" s="397">
        <v>92</v>
      </c>
      <c r="F14" s="393">
        <v>128</v>
      </c>
      <c r="G14" s="394"/>
      <c r="H14" s="397">
        <v>209</v>
      </c>
      <c r="I14" s="397">
        <v>58</v>
      </c>
      <c r="J14" s="393">
        <v>104</v>
      </c>
      <c r="K14" s="394"/>
      <c r="L14" s="397">
        <v>212</v>
      </c>
      <c r="M14" s="397">
        <v>63</v>
      </c>
      <c r="N14" s="393">
        <v>164</v>
      </c>
      <c r="O14" s="394"/>
      <c r="P14" s="397">
        <v>223</v>
      </c>
      <c r="Q14" s="397">
        <v>100</v>
      </c>
      <c r="R14" s="393">
        <v>119</v>
      </c>
      <c r="S14" s="400"/>
      <c r="T14" s="397">
        <v>215</v>
      </c>
      <c r="U14" s="397">
        <v>150</v>
      </c>
      <c r="V14" s="393">
        <v>134</v>
      </c>
      <c r="W14" s="400"/>
      <c r="X14" s="397">
        <v>0</v>
      </c>
      <c r="Y14" s="397">
        <v>0</v>
      </c>
      <c r="Z14" s="393">
        <v>0</v>
      </c>
      <c r="AA14" s="31"/>
      <c r="AB14" s="17"/>
    </row>
    <row r="15" spans="1:28">
      <c r="A15" s="17"/>
      <c r="B15" s="753"/>
      <c r="C15" s="396" t="s">
        <v>237</v>
      </c>
      <c r="D15" s="398">
        <v>238</v>
      </c>
      <c r="E15" s="398">
        <v>138</v>
      </c>
      <c r="F15" s="393">
        <v>107</v>
      </c>
      <c r="G15" s="394"/>
      <c r="H15" s="398">
        <v>204</v>
      </c>
      <c r="I15" s="398">
        <v>75</v>
      </c>
      <c r="J15" s="393">
        <v>86</v>
      </c>
      <c r="K15" s="394"/>
      <c r="L15" s="398">
        <v>246</v>
      </c>
      <c r="M15" s="398">
        <v>73</v>
      </c>
      <c r="N15" s="393">
        <v>160</v>
      </c>
      <c r="O15" s="394"/>
      <c r="P15" s="398">
        <v>232</v>
      </c>
      <c r="Q15" s="398">
        <v>127</v>
      </c>
      <c r="R15" s="393">
        <v>95</v>
      </c>
      <c r="S15" s="394"/>
      <c r="T15" s="398">
        <v>237</v>
      </c>
      <c r="U15" s="398">
        <v>178</v>
      </c>
      <c r="V15" s="393">
        <v>122</v>
      </c>
      <c r="W15" s="394"/>
      <c r="X15" s="398">
        <v>0</v>
      </c>
      <c r="Y15" s="398">
        <v>0</v>
      </c>
      <c r="Z15" s="393">
        <v>0</v>
      </c>
      <c r="AA15" s="395"/>
      <c r="AB15" s="17"/>
    </row>
    <row r="16" spans="1:28">
      <c r="A16" s="17"/>
      <c r="B16" s="754"/>
      <c r="C16" s="396" t="s">
        <v>238</v>
      </c>
      <c r="D16" s="399">
        <v>25</v>
      </c>
      <c r="E16" s="399">
        <v>16</v>
      </c>
      <c r="F16" s="399">
        <v>29</v>
      </c>
      <c r="G16" s="400"/>
      <c r="H16" s="399">
        <v>32</v>
      </c>
      <c r="I16" s="399">
        <v>23</v>
      </c>
      <c r="J16" s="399">
        <v>25</v>
      </c>
      <c r="K16" s="400"/>
      <c r="L16" s="399">
        <v>27</v>
      </c>
      <c r="M16" s="399">
        <v>22</v>
      </c>
      <c r="N16" s="399">
        <v>33</v>
      </c>
      <c r="O16" s="400"/>
      <c r="P16" s="399">
        <v>21</v>
      </c>
      <c r="Q16" s="399">
        <v>12</v>
      </c>
      <c r="R16" s="399">
        <v>28</v>
      </c>
      <c r="S16" s="400"/>
      <c r="T16" s="399">
        <v>10</v>
      </c>
      <c r="U16" s="399">
        <v>21</v>
      </c>
      <c r="V16" s="399">
        <v>40</v>
      </c>
      <c r="W16" s="400"/>
      <c r="X16" s="399">
        <v>0</v>
      </c>
      <c r="Y16" s="399">
        <v>0</v>
      </c>
      <c r="Z16" s="399">
        <v>0</v>
      </c>
      <c r="AA16" s="31"/>
      <c r="AB16" s="17"/>
    </row>
    <row r="17" spans="1:28" ht="14.3" customHeight="1">
      <c r="A17" s="17"/>
      <c r="B17" s="406"/>
      <c r="C17" s="407"/>
      <c r="D17" s="408"/>
      <c r="E17" s="408"/>
      <c r="F17" s="408"/>
      <c r="G17" s="409"/>
      <c r="H17" s="408"/>
      <c r="I17" s="408"/>
      <c r="J17" s="408"/>
      <c r="K17" s="409"/>
      <c r="L17" s="408"/>
      <c r="M17" s="408"/>
      <c r="N17" s="408"/>
      <c r="O17" s="409"/>
      <c r="P17" s="335"/>
      <c r="Q17" s="335"/>
      <c r="R17" s="335"/>
      <c r="S17" s="17"/>
      <c r="T17" s="335"/>
      <c r="U17" s="335"/>
      <c r="V17" s="335"/>
      <c r="W17" s="17"/>
      <c r="X17" s="335"/>
      <c r="Y17" s="335"/>
      <c r="Z17" s="335"/>
      <c r="AA17" s="17"/>
      <c r="AB17" s="17"/>
    </row>
    <row r="18" spans="1:28">
      <c r="A18" s="17"/>
      <c r="B18" s="743" t="s">
        <v>21</v>
      </c>
      <c r="C18" s="396" t="s">
        <v>239</v>
      </c>
      <c r="D18" s="398">
        <v>4347</v>
      </c>
      <c r="E18" s="398">
        <v>4422</v>
      </c>
      <c r="F18" s="398">
        <v>1081</v>
      </c>
      <c r="G18" s="394"/>
      <c r="H18" s="398">
        <v>4396</v>
      </c>
      <c r="I18" s="398">
        <v>1200</v>
      </c>
      <c r="J18" s="398">
        <v>736</v>
      </c>
      <c r="K18" s="394"/>
      <c r="L18" s="398">
        <v>5553</v>
      </c>
      <c r="M18" s="398">
        <v>164</v>
      </c>
      <c r="N18" s="398">
        <v>1957</v>
      </c>
      <c r="O18" s="394"/>
      <c r="P18" s="398">
        <v>5320</v>
      </c>
      <c r="Q18" s="398">
        <v>2189</v>
      </c>
      <c r="R18" s="398">
        <v>1498</v>
      </c>
      <c r="S18" s="394"/>
      <c r="T18" s="398">
        <v>5215</v>
      </c>
      <c r="U18" s="398">
        <v>3173</v>
      </c>
      <c r="V18" s="398">
        <v>2403</v>
      </c>
      <c r="W18" s="394"/>
      <c r="X18" s="398">
        <v>0</v>
      </c>
      <c r="Y18" s="398">
        <v>0</v>
      </c>
      <c r="Z18" s="398">
        <v>0</v>
      </c>
      <c r="AA18" s="395"/>
      <c r="AB18" s="17"/>
    </row>
    <row r="19" spans="1:28">
      <c r="A19" s="17"/>
      <c r="B19" s="743"/>
      <c r="C19" s="407" t="s">
        <v>240</v>
      </c>
      <c r="D19" s="149">
        <v>18973</v>
      </c>
      <c r="E19" s="149">
        <v>5533</v>
      </c>
      <c r="F19" s="149">
        <v>6159</v>
      </c>
      <c r="G19" s="400"/>
      <c r="H19" s="149">
        <v>17434</v>
      </c>
      <c r="I19" s="149">
        <v>4301</v>
      </c>
      <c r="J19" s="149">
        <v>3287</v>
      </c>
      <c r="K19" s="400"/>
      <c r="L19" s="149">
        <v>19420</v>
      </c>
      <c r="M19" s="149">
        <v>5878</v>
      </c>
      <c r="N19" s="149">
        <v>5735</v>
      </c>
      <c r="O19" s="400"/>
      <c r="P19" s="149">
        <v>18916</v>
      </c>
      <c r="Q19" s="149">
        <v>5212</v>
      </c>
      <c r="R19" s="149">
        <v>7549</v>
      </c>
      <c r="S19" s="400"/>
      <c r="T19" s="149">
        <v>20716</v>
      </c>
      <c r="U19" s="149">
        <v>5280</v>
      </c>
      <c r="V19" s="149">
        <v>11001</v>
      </c>
      <c r="W19" s="400"/>
      <c r="X19" s="149">
        <v>0</v>
      </c>
      <c r="Y19" s="149">
        <v>0</v>
      </c>
      <c r="Z19" s="149">
        <v>0</v>
      </c>
      <c r="AA19" s="31"/>
      <c r="AB19" s="17"/>
    </row>
    <row r="20" spans="1:28">
      <c r="A20" s="17"/>
      <c r="B20" s="406"/>
      <c r="C20" s="407"/>
      <c r="D20" s="408"/>
      <c r="E20" s="408"/>
      <c r="F20" s="408"/>
      <c r="G20" s="409"/>
      <c r="H20" s="408"/>
      <c r="I20" s="408"/>
      <c r="J20" s="408"/>
      <c r="K20" s="409"/>
      <c r="L20" s="410"/>
      <c r="M20" s="408"/>
      <c r="N20" s="408"/>
      <c r="O20" s="409"/>
      <c r="P20" s="335"/>
      <c r="Q20" s="335"/>
      <c r="R20" s="335"/>
      <c r="S20" s="17"/>
      <c r="T20" s="335"/>
      <c r="U20" s="335"/>
      <c r="V20" s="335"/>
      <c r="W20" s="17"/>
      <c r="X20" s="335"/>
      <c r="Y20" s="335"/>
      <c r="Z20" s="335"/>
      <c r="AA20" s="17"/>
      <c r="AB20" s="17"/>
    </row>
    <row r="21" spans="1:28">
      <c r="A21" s="17"/>
      <c r="B21" s="751" t="s">
        <v>224</v>
      </c>
      <c r="C21" s="407" t="s">
        <v>241</v>
      </c>
      <c r="D21" s="411">
        <f>D7/D8</f>
        <v>0.67572156196943978</v>
      </c>
      <c r="E21" s="411">
        <f t="shared" ref="E21:F21" si="8">E7/E8</f>
        <v>0.60215053763440862</v>
      </c>
      <c r="F21" s="411">
        <f t="shared" si="8"/>
        <v>0.89290322580645165</v>
      </c>
      <c r="G21" s="394"/>
      <c r="H21" s="411">
        <f>H7/H8</f>
        <v>0.71491228070175439</v>
      </c>
      <c r="I21" s="411">
        <f t="shared" ref="I21:J21" si="9">I7/I8</f>
        <v>0.27857142857142858</v>
      </c>
      <c r="J21" s="411">
        <f t="shared" si="9"/>
        <v>0.55714285714285716</v>
      </c>
      <c r="K21" s="394"/>
      <c r="L21" s="411">
        <f>L7/L8</f>
        <v>0.69496321448783249</v>
      </c>
      <c r="M21" s="411">
        <f t="shared" ref="M21:N21" si="10">M7/M8</f>
        <v>0.15053763440860216</v>
      </c>
      <c r="N21" s="411">
        <f t="shared" si="10"/>
        <v>0.7883870967741935</v>
      </c>
      <c r="O21" s="394"/>
      <c r="P21" s="411">
        <f>P7/P8</f>
        <v>0.75029239766081868</v>
      </c>
      <c r="Q21" s="411">
        <f t="shared" ref="Q21:R21" si="11">Q7/Q8</f>
        <v>0.31111111111111112</v>
      </c>
      <c r="R21" s="411">
        <f t="shared" si="11"/>
        <v>0.628</v>
      </c>
      <c r="S21" s="394"/>
      <c r="T21" s="411">
        <f>T7/T8</f>
        <v>0.71137521222410871</v>
      </c>
      <c r="U21" s="411">
        <f t="shared" ref="U21:V21" si="12">U7/U8</f>
        <v>0.74623655913978493</v>
      </c>
      <c r="V21" s="411">
        <f t="shared" si="12"/>
        <v>0.6348387096774194</v>
      </c>
      <c r="W21" s="394"/>
      <c r="X21" s="411" t="e">
        <f>X7/X8</f>
        <v>#DIV/0!</v>
      </c>
      <c r="Y21" s="411" t="e">
        <f t="shared" ref="Y21:Z21" si="13">Y7/Y8</f>
        <v>#DIV/0!</v>
      </c>
      <c r="Z21" s="411" t="e">
        <f t="shared" si="13"/>
        <v>#DIV/0!</v>
      </c>
      <c r="AA21" s="395"/>
      <c r="AB21" s="17"/>
    </row>
    <row r="22" spans="1:28">
      <c r="A22" s="17"/>
      <c r="B22" s="751"/>
      <c r="C22" s="407" t="s">
        <v>242</v>
      </c>
      <c r="D22" s="412">
        <f>D7/D8</f>
        <v>0.67572156196943978</v>
      </c>
      <c r="E22" s="412">
        <f>E7/E8</f>
        <v>0.60215053763440862</v>
      </c>
      <c r="F22" s="412">
        <f>F7/F8</f>
        <v>0.89290322580645165</v>
      </c>
      <c r="G22" s="394"/>
      <c r="H22" s="412">
        <f>H7/H8</f>
        <v>0.71491228070175439</v>
      </c>
      <c r="I22" s="412">
        <f>I7/I8</f>
        <v>0.27857142857142858</v>
      </c>
      <c r="J22" s="412">
        <f>J7/J8</f>
        <v>0.55714285714285716</v>
      </c>
      <c r="K22" s="394"/>
      <c r="L22" s="412">
        <f>L7/L8</f>
        <v>0.69496321448783249</v>
      </c>
      <c r="M22" s="412">
        <f>M7/M8</f>
        <v>0.15053763440860216</v>
      </c>
      <c r="N22" s="412">
        <f>N7/N8</f>
        <v>0.7883870967741935</v>
      </c>
      <c r="O22" s="394"/>
      <c r="P22" s="412">
        <f>P7/P8</f>
        <v>0.75029239766081868</v>
      </c>
      <c r="Q22" s="412">
        <f>Q7/Q8</f>
        <v>0.31111111111111112</v>
      </c>
      <c r="R22" s="412">
        <f>R7/R8</f>
        <v>0.628</v>
      </c>
      <c r="S22" s="400"/>
      <c r="T22" s="412">
        <f>T7/T8</f>
        <v>0.71137521222410871</v>
      </c>
      <c r="U22" s="412">
        <f>U7/U8</f>
        <v>0.74623655913978493</v>
      </c>
      <c r="V22" s="412">
        <f>V7/V8</f>
        <v>0.6348387096774194</v>
      </c>
      <c r="W22" s="400"/>
      <c r="X22" s="412" t="e">
        <f>X7/X8</f>
        <v>#DIV/0!</v>
      </c>
      <c r="Y22" s="412" t="e">
        <f>Y7/Y8</f>
        <v>#DIV/0!</v>
      </c>
      <c r="Z22" s="412" t="e">
        <f>Z7/Z8</f>
        <v>#DIV/0!</v>
      </c>
      <c r="AA22" s="31"/>
      <c r="AB22" s="17"/>
    </row>
    <row r="23" spans="1:28">
      <c r="A23" s="17"/>
      <c r="B23" s="751"/>
      <c r="C23" s="413" t="s">
        <v>243</v>
      </c>
      <c r="D23" s="414">
        <v>4.07</v>
      </c>
      <c r="E23" s="414">
        <v>1</v>
      </c>
      <c r="F23" s="414">
        <v>5.12</v>
      </c>
      <c r="G23" s="394"/>
      <c r="H23" s="414">
        <v>4.0599999999999996</v>
      </c>
      <c r="I23" s="414">
        <v>0</v>
      </c>
      <c r="J23" s="414">
        <v>4.6100000000000003</v>
      </c>
      <c r="K23" s="394"/>
      <c r="L23" s="414">
        <v>3.72</v>
      </c>
      <c r="M23" s="414">
        <v>0</v>
      </c>
      <c r="N23" s="414">
        <v>6.56</v>
      </c>
      <c r="O23" s="414"/>
      <c r="P23" s="414">
        <v>4.04</v>
      </c>
      <c r="Q23" s="414">
        <v>0</v>
      </c>
      <c r="R23" s="414">
        <v>4.92</v>
      </c>
      <c r="S23" s="394"/>
      <c r="T23" s="414">
        <v>3.77</v>
      </c>
      <c r="U23" s="414">
        <v>0.7</v>
      </c>
      <c r="V23" s="414">
        <v>5.36</v>
      </c>
      <c r="W23" s="394"/>
      <c r="X23" s="414">
        <v>0</v>
      </c>
      <c r="Y23" s="414">
        <v>0</v>
      </c>
      <c r="Z23" s="414">
        <v>0</v>
      </c>
      <c r="AA23" s="395"/>
      <c r="AB23" s="17"/>
    </row>
    <row r="24" spans="1:28">
      <c r="A24" s="17"/>
      <c r="B24" s="751"/>
      <c r="C24" s="413" t="s">
        <v>244</v>
      </c>
      <c r="D24" s="399">
        <v>2.5</v>
      </c>
      <c r="E24" s="474">
        <v>2</v>
      </c>
      <c r="F24" s="399">
        <v>1.9</v>
      </c>
      <c r="G24" s="400"/>
      <c r="H24" s="474">
        <v>2.2000000000000002</v>
      </c>
      <c r="I24" s="474">
        <v>5.2</v>
      </c>
      <c r="J24" s="474">
        <v>3</v>
      </c>
      <c r="K24" s="400"/>
      <c r="L24" s="474">
        <v>2.5</v>
      </c>
      <c r="M24" s="474">
        <v>6.3</v>
      </c>
      <c r="N24" s="474">
        <v>1</v>
      </c>
      <c r="O24" s="400"/>
      <c r="P24" s="474">
        <v>1.9</v>
      </c>
      <c r="Q24" s="474">
        <v>3.1</v>
      </c>
      <c r="R24" s="474">
        <v>2.2999999999999998</v>
      </c>
      <c r="S24" s="400"/>
      <c r="T24" s="474">
        <v>2.4</v>
      </c>
      <c r="U24" s="474">
        <v>0.8</v>
      </c>
      <c r="V24" s="474">
        <v>2.1</v>
      </c>
      <c r="W24" s="400"/>
      <c r="X24" s="474">
        <v>0</v>
      </c>
      <c r="Y24" s="474">
        <v>0</v>
      </c>
      <c r="Z24" s="474">
        <v>0</v>
      </c>
      <c r="AA24" s="31"/>
      <c r="AB24" s="17"/>
    </row>
    <row r="25" spans="1:28">
      <c r="A25" s="17"/>
      <c r="B25" s="751"/>
      <c r="C25" s="407" t="s">
        <v>245</v>
      </c>
      <c r="D25" s="399">
        <v>5.0999999999999996</v>
      </c>
      <c r="E25" s="474">
        <v>3</v>
      </c>
      <c r="F25" s="399">
        <v>5.4</v>
      </c>
      <c r="G25" s="400"/>
      <c r="H25" s="474">
        <v>5.5</v>
      </c>
      <c r="I25" s="474">
        <v>2</v>
      </c>
      <c r="J25" s="474">
        <v>3.8</v>
      </c>
      <c r="K25" s="400"/>
      <c r="L25" s="474">
        <v>5.8</v>
      </c>
      <c r="M25" s="474">
        <v>1.1000000000000001</v>
      </c>
      <c r="N25" s="474">
        <v>3.7</v>
      </c>
      <c r="O25" s="400"/>
      <c r="P25" s="474">
        <v>5.8</v>
      </c>
      <c r="Q25" s="474">
        <v>1.4</v>
      </c>
      <c r="R25" s="474">
        <v>4</v>
      </c>
      <c r="S25" s="144"/>
      <c r="T25" s="474">
        <v>5.8</v>
      </c>
      <c r="U25" s="474">
        <v>2.2999999999999998</v>
      </c>
      <c r="V25" s="474">
        <v>3.7</v>
      </c>
      <c r="W25" s="144"/>
      <c r="X25" s="474">
        <v>0</v>
      </c>
      <c r="Y25" s="474">
        <v>0</v>
      </c>
      <c r="Z25" s="474">
        <v>0</v>
      </c>
      <c r="AA25" s="17"/>
      <c r="AB25" s="17"/>
    </row>
    <row r="26" spans="1:28">
      <c r="A26" s="17"/>
      <c r="B26" s="751"/>
      <c r="C26" s="407" t="s">
        <v>246</v>
      </c>
      <c r="D26" s="399">
        <v>21</v>
      </c>
      <c r="E26" s="399">
        <v>0</v>
      </c>
      <c r="F26" s="399">
        <v>17</v>
      </c>
      <c r="G26" s="400"/>
      <c r="H26" s="399">
        <v>12</v>
      </c>
      <c r="I26" s="399">
        <v>0</v>
      </c>
      <c r="J26" s="399">
        <v>8</v>
      </c>
      <c r="K26" s="400"/>
      <c r="L26" s="399">
        <v>7</v>
      </c>
      <c r="M26" s="399">
        <v>0</v>
      </c>
      <c r="N26" s="399">
        <v>2</v>
      </c>
      <c r="O26" s="400"/>
      <c r="P26" s="399">
        <v>4</v>
      </c>
      <c r="Q26" s="399">
        <v>0</v>
      </c>
      <c r="R26" s="399">
        <v>7</v>
      </c>
      <c r="S26" s="144"/>
      <c r="T26" s="399">
        <v>1</v>
      </c>
      <c r="U26" s="399">
        <v>0</v>
      </c>
      <c r="V26" s="399">
        <v>3</v>
      </c>
      <c r="W26" s="144"/>
      <c r="X26" s="399">
        <v>0</v>
      </c>
      <c r="Y26" s="399">
        <v>0</v>
      </c>
      <c r="Z26" s="399">
        <v>0</v>
      </c>
      <c r="AA26" s="17"/>
      <c r="AB26" s="17"/>
    </row>
    <row r="27" spans="1:28">
      <c r="A27" s="17"/>
      <c r="B27" s="751"/>
      <c r="C27" s="407" t="s">
        <v>247</v>
      </c>
      <c r="D27" s="415">
        <f>SUM(D28,D26)/D14</f>
        <v>0.17241379310344829</v>
      </c>
      <c r="E27" s="415">
        <f>SUM(E28,E26)/E14</f>
        <v>0</v>
      </c>
      <c r="F27" s="415">
        <f>SUM(F28,F26)/F14</f>
        <v>0.21875</v>
      </c>
      <c r="G27" s="416"/>
      <c r="H27" s="415">
        <f>SUM(H28,H26)/H14</f>
        <v>0.11004784688995216</v>
      </c>
      <c r="I27" s="415">
        <f>SUM(I28,I26)/I14</f>
        <v>0</v>
      </c>
      <c r="J27" s="415">
        <f>SUM(J28,J26)/J14</f>
        <v>0.17307692307692307</v>
      </c>
      <c r="K27" s="416"/>
      <c r="L27" s="415">
        <f>SUM(L28,L26)/L14</f>
        <v>8.9622641509433956E-2</v>
      </c>
      <c r="M27" s="415">
        <f>SUM(M28,M26)/M14</f>
        <v>0</v>
      </c>
      <c r="N27" s="415">
        <f>SUM(N28,N26)/N14</f>
        <v>5.4878048780487805E-2</v>
      </c>
      <c r="O27" s="400"/>
      <c r="P27" s="415">
        <f>SUM(P28,P26)/P14</f>
        <v>8.0717488789237665E-2</v>
      </c>
      <c r="Q27" s="415">
        <f>SUM(Q28,Q26)/Q14</f>
        <v>0</v>
      </c>
      <c r="R27" s="415">
        <f>SUM(R28,R26)/R14</f>
        <v>6.7226890756302518E-2</v>
      </c>
      <c r="S27" s="144"/>
      <c r="T27" s="415">
        <f>SUM(T28,T26)/T14</f>
        <v>6.5116279069767441E-2</v>
      </c>
      <c r="U27" s="415">
        <f>SUM(U28,U26)/U14</f>
        <v>0</v>
      </c>
      <c r="V27" s="415">
        <f>SUM(V28,V26)/V14</f>
        <v>5.9701492537313432E-2</v>
      </c>
      <c r="W27" s="144"/>
      <c r="X27" s="415" t="e">
        <f>SUM(X28,X26)/X14</f>
        <v>#DIV/0!</v>
      </c>
      <c r="Y27" s="415" t="e">
        <f>SUM(Y28,Y26)/Y14</f>
        <v>#DIV/0!</v>
      </c>
      <c r="Z27" s="415" t="e">
        <f>SUM(Z28,Z26)/Z14</f>
        <v>#DIV/0!</v>
      </c>
      <c r="AA27" s="17"/>
      <c r="AB27" s="17"/>
    </row>
    <row r="28" spans="1:28">
      <c r="A28" s="17"/>
      <c r="B28" s="751"/>
      <c r="C28" s="407" t="s">
        <v>248</v>
      </c>
      <c r="D28" s="149">
        <v>19</v>
      </c>
      <c r="E28" s="399">
        <v>0</v>
      </c>
      <c r="F28" s="399">
        <v>11</v>
      </c>
      <c r="G28" s="400"/>
      <c r="H28" s="149">
        <v>11</v>
      </c>
      <c r="I28" s="399">
        <v>0</v>
      </c>
      <c r="J28" s="399">
        <v>10</v>
      </c>
      <c r="K28" s="400"/>
      <c r="L28" s="149">
        <v>12</v>
      </c>
      <c r="M28" s="399">
        <v>0</v>
      </c>
      <c r="N28" s="399">
        <v>7</v>
      </c>
      <c r="O28" s="400"/>
      <c r="P28" s="149">
        <v>14</v>
      </c>
      <c r="Q28" s="399">
        <v>0</v>
      </c>
      <c r="R28" s="399">
        <v>1</v>
      </c>
      <c r="S28" s="144"/>
      <c r="T28" s="149">
        <v>13</v>
      </c>
      <c r="U28" s="399">
        <v>0</v>
      </c>
      <c r="V28" s="399">
        <v>5</v>
      </c>
      <c r="W28" s="144"/>
      <c r="X28" s="149">
        <v>0</v>
      </c>
      <c r="Y28" s="399">
        <v>0</v>
      </c>
      <c r="Z28" s="399">
        <v>0</v>
      </c>
      <c r="AA28" s="17"/>
      <c r="AB28" s="17"/>
    </row>
    <row r="29" spans="1:28">
      <c r="A29" s="17"/>
      <c r="B29" s="751"/>
      <c r="C29" s="407" t="s">
        <v>249</v>
      </c>
      <c r="D29" s="415">
        <f>D28/D14</f>
        <v>8.1896551724137928E-2</v>
      </c>
      <c r="E29" s="415">
        <f>E28/E14</f>
        <v>0</v>
      </c>
      <c r="F29" s="415">
        <f>F28/F14</f>
        <v>8.59375E-2</v>
      </c>
      <c r="G29" s="416"/>
      <c r="H29" s="415">
        <f>H28/H14</f>
        <v>5.2631578947368418E-2</v>
      </c>
      <c r="I29" s="415">
        <f>I28/I14</f>
        <v>0</v>
      </c>
      <c r="J29" s="415">
        <f>J28/J14</f>
        <v>9.6153846153846159E-2</v>
      </c>
      <c r="K29" s="416"/>
      <c r="L29" s="415">
        <f>L28/L14</f>
        <v>5.6603773584905662E-2</v>
      </c>
      <c r="M29" s="415">
        <f>M28/M14</f>
        <v>0</v>
      </c>
      <c r="N29" s="415">
        <f>N28/N14</f>
        <v>4.2682926829268296E-2</v>
      </c>
      <c r="O29" s="400"/>
      <c r="P29" s="415">
        <f>P28/P14</f>
        <v>6.2780269058295965E-2</v>
      </c>
      <c r="Q29" s="415">
        <f>Q28/Q14</f>
        <v>0</v>
      </c>
      <c r="R29" s="415">
        <f>R28/R14</f>
        <v>8.4033613445378148E-3</v>
      </c>
      <c r="S29" s="144"/>
      <c r="T29" s="415">
        <f>T28/T14</f>
        <v>6.0465116279069767E-2</v>
      </c>
      <c r="U29" s="415">
        <f>U28/U14</f>
        <v>0</v>
      </c>
      <c r="V29" s="415">
        <f>V28/V14</f>
        <v>3.7313432835820892E-2</v>
      </c>
      <c r="W29" s="144"/>
      <c r="X29" s="415" t="e">
        <f>X28/X14</f>
        <v>#DIV/0!</v>
      </c>
      <c r="Y29" s="415" t="e">
        <f>Y28/Y14</f>
        <v>#DIV/0!</v>
      </c>
      <c r="Z29" s="415" t="e">
        <f>Z28/Z14</f>
        <v>#DIV/0!</v>
      </c>
      <c r="AA29" s="17"/>
      <c r="AB29" s="17"/>
    </row>
    <row r="30" spans="1:28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6.3">
      <c r="A32" s="17"/>
      <c r="B32" s="745" t="s">
        <v>224</v>
      </c>
      <c r="C32" s="745"/>
      <c r="D32" s="746"/>
      <c r="E32" s="746"/>
      <c r="F32" s="746"/>
      <c r="G32" s="746"/>
      <c r="H32" s="746"/>
      <c r="I32" s="746"/>
      <c r="J32" s="746"/>
      <c r="K32" s="746"/>
      <c r="L32" s="746"/>
      <c r="M32" s="746"/>
      <c r="N32" s="746"/>
      <c r="O32" s="745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385">
        <v>2022</v>
      </c>
      <c r="AA32" s="386"/>
      <c r="AB32" s="17"/>
    </row>
    <row r="33" spans="1:28" ht="16.3">
      <c r="A33" s="17"/>
      <c r="B33" s="747"/>
      <c r="C33" s="747"/>
      <c r="D33" s="747" t="s">
        <v>250</v>
      </c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387"/>
      <c r="P33" s="747" t="s">
        <v>251</v>
      </c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387"/>
      <c r="AB33" s="17"/>
    </row>
    <row r="34" spans="1:28">
      <c r="A34" s="17"/>
      <c r="B34" s="748"/>
      <c r="C34" s="748"/>
      <c r="D34" s="748" t="s">
        <v>95</v>
      </c>
      <c r="E34" s="748"/>
      <c r="F34" s="748"/>
      <c r="G34" s="389"/>
      <c r="H34" s="748" t="s">
        <v>102</v>
      </c>
      <c r="I34" s="748"/>
      <c r="J34" s="748"/>
      <c r="K34" s="389"/>
      <c r="L34" s="748" t="s">
        <v>103</v>
      </c>
      <c r="M34" s="748"/>
      <c r="N34" s="748"/>
      <c r="O34" s="389"/>
      <c r="P34" s="748" t="s">
        <v>104</v>
      </c>
      <c r="Q34" s="748"/>
      <c r="R34" s="748"/>
      <c r="S34" s="389"/>
      <c r="T34" s="748" t="s">
        <v>105</v>
      </c>
      <c r="U34" s="748"/>
      <c r="V34" s="748"/>
      <c r="W34" s="389"/>
      <c r="X34" s="748" t="s">
        <v>106</v>
      </c>
      <c r="Y34" s="748"/>
      <c r="Z34" s="748"/>
      <c r="AA34" s="389"/>
      <c r="AB34" s="417" t="s">
        <v>252</v>
      </c>
    </row>
    <row r="35" spans="1:28">
      <c r="A35" s="17"/>
      <c r="B35" s="749"/>
      <c r="C35" s="750"/>
      <c r="D35" s="390" t="s">
        <v>18</v>
      </c>
      <c r="E35" s="390" t="s">
        <v>20</v>
      </c>
      <c r="F35" s="390" t="s">
        <v>19</v>
      </c>
      <c r="G35" s="391"/>
      <c r="H35" s="390" t="s">
        <v>18</v>
      </c>
      <c r="I35" s="390" t="s">
        <v>20</v>
      </c>
      <c r="J35" s="390" t="s">
        <v>19</v>
      </c>
      <c r="K35" s="391"/>
      <c r="L35" s="390" t="s">
        <v>18</v>
      </c>
      <c r="M35" s="390" t="s">
        <v>20</v>
      </c>
      <c r="N35" s="390" t="s">
        <v>19</v>
      </c>
      <c r="O35" s="391"/>
      <c r="P35" s="390" t="s">
        <v>18</v>
      </c>
      <c r="Q35" s="390" t="s">
        <v>20</v>
      </c>
      <c r="R35" s="390" t="s">
        <v>19</v>
      </c>
      <c r="S35" s="391"/>
      <c r="T35" s="390" t="s">
        <v>18</v>
      </c>
      <c r="U35" s="390" t="s">
        <v>20</v>
      </c>
      <c r="V35" s="390" t="s">
        <v>19</v>
      </c>
      <c r="W35" s="391"/>
      <c r="X35" s="390" t="s">
        <v>18</v>
      </c>
      <c r="Y35" s="390" t="s">
        <v>20</v>
      </c>
      <c r="Z35" s="390" t="s">
        <v>19</v>
      </c>
      <c r="AA35" s="391"/>
      <c r="AB35" s="17"/>
    </row>
    <row r="36" spans="1:28">
      <c r="A36" s="17"/>
      <c r="B36" s="751" t="s">
        <v>227</v>
      </c>
      <c r="C36" s="392" t="s">
        <v>228</v>
      </c>
      <c r="D36" s="393">
        <v>0</v>
      </c>
      <c r="E36" s="393">
        <v>0</v>
      </c>
      <c r="F36" s="393">
        <v>0</v>
      </c>
      <c r="G36" s="394"/>
      <c r="H36" s="393">
        <v>0</v>
      </c>
      <c r="I36" s="393">
        <v>0</v>
      </c>
      <c r="J36" s="393">
        <v>0</v>
      </c>
      <c r="K36" s="394"/>
      <c r="L36" s="393">
        <v>0</v>
      </c>
      <c r="M36" s="393">
        <v>0</v>
      </c>
      <c r="N36" s="393">
        <v>0</v>
      </c>
      <c r="O36" s="394"/>
      <c r="P36" s="393">
        <v>0</v>
      </c>
      <c r="Q36" s="393">
        <v>0</v>
      </c>
      <c r="R36" s="393">
        <v>0</v>
      </c>
      <c r="S36" s="394"/>
      <c r="T36" s="393">
        <v>0</v>
      </c>
      <c r="U36" s="393">
        <v>0</v>
      </c>
      <c r="V36" s="393">
        <v>0</v>
      </c>
      <c r="W36" s="394"/>
      <c r="X36" s="393">
        <v>0</v>
      </c>
      <c r="Y36" s="393">
        <v>0</v>
      </c>
      <c r="Z36" s="393">
        <v>0</v>
      </c>
      <c r="AA36" s="395"/>
      <c r="AB36" s="17"/>
    </row>
    <row r="37" spans="1:28">
      <c r="A37" s="17"/>
      <c r="B37" s="751"/>
      <c r="C37" s="396" t="s">
        <v>229</v>
      </c>
      <c r="D37" s="398">
        <v>0</v>
      </c>
      <c r="E37" s="393">
        <v>0</v>
      </c>
      <c r="F37" s="393">
        <v>0</v>
      </c>
      <c r="G37" s="394"/>
      <c r="H37" s="398">
        <v>0</v>
      </c>
      <c r="I37" s="393">
        <v>0</v>
      </c>
      <c r="J37" s="393">
        <v>0</v>
      </c>
      <c r="K37" s="394"/>
      <c r="L37" s="398">
        <v>0</v>
      </c>
      <c r="M37" s="393">
        <v>0</v>
      </c>
      <c r="N37" s="393">
        <v>0</v>
      </c>
      <c r="O37" s="394"/>
      <c r="P37" s="398">
        <v>0</v>
      </c>
      <c r="Q37" s="393">
        <v>0</v>
      </c>
      <c r="R37" s="393">
        <v>0</v>
      </c>
      <c r="S37" s="400"/>
      <c r="T37" s="398">
        <v>0</v>
      </c>
      <c r="U37" s="393">
        <v>0</v>
      </c>
      <c r="V37" s="393">
        <v>0</v>
      </c>
      <c r="W37" s="400"/>
      <c r="X37" s="398">
        <v>0</v>
      </c>
      <c r="Y37" s="393">
        <v>0</v>
      </c>
      <c r="Z37" s="393">
        <v>0</v>
      </c>
      <c r="AA37" s="31"/>
      <c r="AB37" s="17"/>
    </row>
    <row r="38" spans="1:28">
      <c r="A38" s="17"/>
      <c r="B38" s="751"/>
      <c r="C38" s="392" t="s">
        <v>230</v>
      </c>
      <c r="D38" s="393">
        <v>0</v>
      </c>
      <c r="E38" s="398">
        <v>0</v>
      </c>
      <c r="F38" s="393">
        <v>0</v>
      </c>
      <c r="G38" s="394"/>
      <c r="H38" s="393">
        <v>0</v>
      </c>
      <c r="I38" s="398">
        <v>0</v>
      </c>
      <c r="J38" s="393">
        <v>0</v>
      </c>
      <c r="K38" s="394"/>
      <c r="L38" s="393">
        <v>0</v>
      </c>
      <c r="M38" s="398">
        <v>0</v>
      </c>
      <c r="N38" s="393">
        <v>0</v>
      </c>
      <c r="O38" s="394"/>
      <c r="P38" s="393">
        <v>0</v>
      </c>
      <c r="Q38" s="398">
        <v>0</v>
      </c>
      <c r="R38" s="393">
        <v>0</v>
      </c>
      <c r="S38" s="394"/>
      <c r="T38" s="393">
        <v>0</v>
      </c>
      <c r="U38" s="398">
        <v>0</v>
      </c>
      <c r="V38" s="393">
        <v>0</v>
      </c>
      <c r="W38" s="394"/>
      <c r="X38" s="393">
        <v>0</v>
      </c>
      <c r="Y38" s="398">
        <v>0</v>
      </c>
      <c r="Z38" s="393">
        <v>0</v>
      </c>
      <c r="AA38" s="395"/>
      <c r="AB38" s="17"/>
    </row>
    <row r="39" spans="1:28">
      <c r="A39" s="17"/>
      <c r="B39" s="751"/>
      <c r="C39" s="392" t="s">
        <v>231</v>
      </c>
      <c r="D39" s="399">
        <v>0</v>
      </c>
      <c r="E39" s="399">
        <v>0</v>
      </c>
      <c r="F39" s="399">
        <v>0</v>
      </c>
      <c r="G39" s="400"/>
      <c r="H39" s="399">
        <v>0</v>
      </c>
      <c r="I39" s="399">
        <v>0</v>
      </c>
      <c r="J39" s="399">
        <v>0</v>
      </c>
      <c r="K39" s="400"/>
      <c r="L39" s="399">
        <v>0</v>
      </c>
      <c r="M39" s="399">
        <v>0</v>
      </c>
      <c r="N39" s="399">
        <v>0</v>
      </c>
      <c r="O39" s="400"/>
      <c r="P39" s="399">
        <v>0</v>
      </c>
      <c r="Q39" s="399">
        <v>0</v>
      </c>
      <c r="R39" s="399">
        <v>0</v>
      </c>
      <c r="S39" s="400"/>
      <c r="T39" s="399">
        <v>0</v>
      </c>
      <c r="U39" s="399">
        <v>0</v>
      </c>
      <c r="V39" s="399">
        <v>0</v>
      </c>
      <c r="W39" s="400"/>
      <c r="X39" s="399">
        <v>0</v>
      </c>
      <c r="Y39" s="399">
        <v>0</v>
      </c>
      <c r="Z39" s="399">
        <v>0</v>
      </c>
      <c r="AA39" s="31"/>
      <c r="AB39" s="17"/>
    </row>
    <row r="40" spans="1:28">
      <c r="A40" s="17"/>
      <c r="B40" s="751"/>
      <c r="C40" s="401" t="s">
        <v>232</v>
      </c>
      <c r="D40" s="402" t="e">
        <f t="shared" ref="D40:F40" si="14">D37/D39</f>
        <v>#DIV/0!</v>
      </c>
      <c r="E40" s="402" t="e">
        <f t="shared" si="14"/>
        <v>#DIV/0!</v>
      </c>
      <c r="F40" s="402" t="e">
        <f t="shared" si="14"/>
        <v>#DIV/0!</v>
      </c>
      <c r="G40" s="403"/>
      <c r="H40" s="402" t="e">
        <f t="shared" ref="H40:J40" si="15">H37/H39</f>
        <v>#DIV/0!</v>
      </c>
      <c r="I40" s="402" t="e">
        <f t="shared" si="15"/>
        <v>#DIV/0!</v>
      </c>
      <c r="J40" s="402" t="e">
        <f t="shared" si="15"/>
        <v>#DIV/0!</v>
      </c>
      <c r="K40" s="403"/>
      <c r="L40" s="402" t="e">
        <f t="shared" ref="L40:N40" si="16">L37/L39</f>
        <v>#DIV/0!</v>
      </c>
      <c r="M40" s="402" t="e">
        <f t="shared" si="16"/>
        <v>#DIV/0!</v>
      </c>
      <c r="N40" s="402" t="e">
        <f t="shared" si="16"/>
        <v>#DIV/0!</v>
      </c>
      <c r="O40" s="400"/>
      <c r="P40" s="402" t="e">
        <f t="shared" ref="P40:R40" si="17">P37/P39</f>
        <v>#DIV/0!</v>
      </c>
      <c r="Q40" s="402" t="e">
        <f t="shared" si="17"/>
        <v>#DIV/0!</v>
      </c>
      <c r="R40" s="402" t="e">
        <f t="shared" si="17"/>
        <v>#DIV/0!</v>
      </c>
      <c r="S40" s="144"/>
      <c r="T40" s="402" t="e">
        <f t="shared" ref="T40:V40" si="18">T37/T39</f>
        <v>#DIV/0!</v>
      </c>
      <c r="U40" s="402" t="e">
        <f t="shared" si="18"/>
        <v>#DIV/0!</v>
      </c>
      <c r="V40" s="402" t="e">
        <f t="shared" si="18"/>
        <v>#DIV/0!</v>
      </c>
      <c r="W40" s="144"/>
      <c r="X40" s="402" t="e">
        <f t="shared" ref="X40:Z40" si="19">X37/X39</f>
        <v>#DIV/0!</v>
      </c>
      <c r="Y40" s="402" t="e">
        <f t="shared" si="19"/>
        <v>#DIV/0!</v>
      </c>
      <c r="Z40" s="402" t="e">
        <f t="shared" si="19"/>
        <v>#DIV/0!</v>
      </c>
      <c r="AA40" s="17"/>
      <c r="AB40" s="17"/>
    </row>
    <row r="41" spans="1:28">
      <c r="A41" s="17"/>
      <c r="B41" s="751"/>
      <c r="C41" s="401" t="s">
        <v>233</v>
      </c>
      <c r="D41" s="405" t="e">
        <f t="shared" ref="D41:F41" si="20">D38/D39</f>
        <v>#DIV/0!</v>
      </c>
      <c r="E41" s="405" t="e">
        <f t="shared" si="20"/>
        <v>#DIV/0!</v>
      </c>
      <c r="F41" s="405" t="e">
        <f t="shared" si="20"/>
        <v>#DIV/0!</v>
      </c>
      <c r="G41" s="403"/>
      <c r="H41" s="405" t="e">
        <f t="shared" ref="H41:J41" si="21">H38/H39</f>
        <v>#DIV/0!</v>
      </c>
      <c r="I41" s="405" t="e">
        <f t="shared" si="21"/>
        <v>#DIV/0!</v>
      </c>
      <c r="J41" s="405" t="e">
        <f t="shared" si="21"/>
        <v>#DIV/0!</v>
      </c>
      <c r="K41" s="403"/>
      <c r="L41" s="405" t="e">
        <f t="shared" ref="L41:N41" si="22">L38/L39</f>
        <v>#DIV/0!</v>
      </c>
      <c r="M41" s="405" t="e">
        <f t="shared" si="22"/>
        <v>#DIV/0!</v>
      </c>
      <c r="N41" s="405" t="e">
        <f t="shared" si="22"/>
        <v>#DIV/0!</v>
      </c>
      <c r="O41" s="400"/>
      <c r="P41" s="405" t="e">
        <f t="shared" ref="P41:R41" si="23">P38/P39</f>
        <v>#DIV/0!</v>
      </c>
      <c r="Q41" s="405" t="e">
        <f t="shared" si="23"/>
        <v>#DIV/0!</v>
      </c>
      <c r="R41" s="405" t="e">
        <f t="shared" si="23"/>
        <v>#DIV/0!</v>
      </c>
      <c r="S41" s="144"/>
      <c r="T41" s="405" t="e">
        <f t="shared" ref="T41:V41" si="24">T38/T39</f>
        <v>#DIV/0!</v>
      </c>
      <c r="U41" s="405" t="e">
        <f t="shared" si="24"/>
        <v>#DIV/0!</v>
      </c>
      <c r="V41" s="405" t="e">
        <f t="shared" si="24"/>
        <v>#DIV/0!</v>
      </c>
      <c r="W41" s="144"/>
      <c r="X41" s="405" t="e">
        <f t="shared" ref="X41:Z41" si="25">X38/X39</f>
        <v>#DIV/0!</v>
      </c>
      <c r="Y41" s="405" t="e">
        <f t="shared" si="25"/>
        <v>#DIV/0!</v>
      </c>
      <c r="Z41" s="405" t="e">
        <f t="shared" si="25"/>
        <v>#DIV/0!</v>
      </c>
      <c r="AA41" s="17"/>
      <c r="AB41" s="17"/>
    </row>
    <row r="42" spans="1:28">
      <c r="A42" s="17"/>
      <c r="B42" s="406"/>
      <c r="C42" s="407"/>
      <c r="D42" s="335"/>
      <c r="E42" s="335"/>
      <c r="F42" s="335"/>
      <c r="G42" s="409"/>
      <c r="H42" s="335"/>
      <c r="I42" s="335"/>
      <c r="J42" s="335"/>
      <c r="K42" s="409"/>
      <c r="L42" s="335"/>
      <c r="M42" s="335"/>
      <c r="N42" s="335"/>
      <c r="O42" s="409"/>
      <c r="P42" s="335"/>
      <c r="Q42" s="335"/>
      <c r="R42" s="335"/>
      <c r="S42" s="17"/>
      <c r="T42" s="335"/>
      <c r="U42" s="335"/>
      <c r="V42" s="335"/>
      <c r="W42" s="17"/>
      <c r="X42" s="335"/>
      <c r="Y42" s="335"/>
      <c r="Z42" s="335"/>
      <c r="AA42" s="17"/>
      <c r="AB42" s="17"/>
    </row>
    <row r="43" spans="1:28">
      <c r="A43" s="17"/>
      <c r="B43" s="752" t="s">
        <v>234</v>
      </c>
      <c r="C43" s="396" t="s">
        <v>235</v>
      </c>
      <c r="D43" s="398">
        <v>0</v>
      </c>
      <c r="E43" s="398">
        <v>0</v>
      </c>
      <c r="F43" s="398">
        <v>0</v>
      </c>
      <c r="G43" s="394"/>
      <c r="H43" s="398">
        <v>0</v>
      </c>
      <c r="I43" s="398">
        <v>0</v>
      </c>
      <c r="J43" s="398">
        <v>0</v>
      </c>
      <c r="K43" s="394"/>
      <c r="L43" s="398">
        <v>0</v>
      </c>
      <c r="M43" s="398">
        <v>0</v>
      </c>
      <c r="N43" s="398">
        <v>0</v>
      </c>
      <c r="O43" s="394"/>
      <c r="P43" s="398">
        <v>0</v>
      </c>
      <c r="Q43" s="398">
        <v>0</v>
      </c>
      <c r="R43" s="398">
        <v>0</v>
      </c>
      <c r="S43" s="394"/>
      <c r="T43" s="398">
        <v>0</v>
      </c>
      <c r="U43" s="398">
        <v>0</v>
      </c>
      <c r="V43" s="398">
        <v>0</v>
      </c>
      <c r="W43" s="394"/>
      <c r="X43" s="398">
        <v>0</v>
      </c>
      <c r="Y43" s="398">
        <v>0</v>
      </c>
      <c r="Z43" s="398">
        <v>0</v>
      </c>
      <c r="AA43" s="395"/>
      <c r="AB43" s="17"/>
    </row>
    <row r="44" spans="1:28">
      <c r="A44" s="17"/>
      <c r="B44" s="753"/>
      <c r="C44" s="396" t="s">
        <v>236</v>
      </c>
      <c r="D44" s="397">
        <v>0</v>
      </c>
      <c r="E44" s="397">
        <v>0</v>
      </c>
      <c r="F44" s="393">
        <v>0</v>
      </c>
      <c r="G44" s="394"/>
      <c r="H44" s="397">
        <v>0</v>
      </c>
      <c r="I44" s="397">
        <v>0</v>
      </c>
      <c r="J44" s="393">
        <v>0</v>
      </c>
      <c r="K44" s="394"/>
      <c r="L44" s="397">
        <v>0</v>
      </c>
      <c r="M44" s="397">
        <v>0</v>
      </c>
      <c r="N44" s="393">
        <v>0</v>
      </c>
      <c r="O44" s="394"/>
      <c r="P44" s="397">
        <v>0</v>
      </c>
      <c r="Q44" s="397">
        <v>0</v>
      </c>
      <c r="R44" s="393">
        <v>0</v>
      </c>
      <c r="S44" s="400"/>
      <c r="T44" s="397">
        <v>0</v>
      </c>
      <c r="U44" s="397">
        <v>0</v>
      </c>
      <c r="V44" s="393">
        <v>0</v>
      </c>
      <c r="W44" s="400"/>
      <c r="X44" s="397">
        <v>0</v>
      </c>
      <c r="Y44" s="397">
        <v>0</v>
      </c>
      <c r="Z44" s="393">
        <v>0</v>
      </c>
      <c r="AA44" s="31"/>
      <c r="AB44" s="17"/>
    </row>
    <row r="45" spans="1:28">
      <c r="A45" s="17"/>
      <c r="B45" s="753"/>
      <c r="C45" s="396" t="s">
        <v>237</v>
      </c>
      <c r="D45" s="398">
        <v>0</v>
      </c>
      <c r="E45" s="398">
        <v>0</v>
      </c>
      <c r="F45" s="393">
        <v>0</v>
      </c>
      <c r="G45" s="394"/>
      <c r="H45" s="398">
        <v>0</v>
      </c>
      <c r="I45" s="398">
        <v>0</v>
      </c>
      <c r="J45" s="393">
        <v>0</v>
      </c>
      <c r="K45" s="394"/>
      <c r="L45" s="398">
        <v>0</v>
      </c>
      <c r="M45" s="398">
        <v>0</v>
      </c>
      <c r="N45" s="393">
        <v>0</v>
      </c>
      <c r="O45" s="394"/>
      <c r="P45" s="398">
        <v>0</v>
      </c>
      <c r="Q45" s="398">
        <v>0</v>
      </c>
      <c r="R45" s="393">
        <v>0</v>
      </c>
      <c r="S45" s="394"/>
      <c r="T45" s="398">
        <v>0</v>
      </c>
      <c r="U45" s="398">
        <v>0</v>
      </c>
      <c r="V45" s="393">
        <v>0</v>
      </c>
      <c r="W45" s="394"/>
      <c r="X45" s="398">
        <v>0</v>
      </c>
      <c r="Y45" s="398">
        <v>0</v>
      </c>
      <c r="Z45" s="393">
        <v>0</v>
      </c>
      <c r="AA45" s="395"/>
      <c r="AB45" s="17"/>
    </row>
    <row r="46" spans="1:28">
      <c r="A46" s="17"/>
      <c r="B46" s="754"/>
      <c r="C46" s="396" t="s">
        <v>238</v>
      </c>
      <c r="D46" s="399">
        <v>0</v>
      </c>
      <c r="E46" s="399">
        <v>0</v>
      </c>
      <c r="F46" s="399">
        <v>0</v>
      </c>
      <c r="G46" s="400"/>
      <c r="H46" s="399">
        <v>0</v>
      </c>
      <c r="I46" s="399">
        <v>0</v>
      </c>
      <c r="J46" s="399">
        <v>0</v>
      </c>
      <c r="K46" s="400"/>
      <c r="L46" s="399">
        <v>0</v>
      </c>
      <c r="M46" s="399">
        <v>0</v>
      </c>
      <c r="N46" s="399">
        <v>0</v>
      </c>
      <c r="O46" s="400"/>
      <c r="P46" s="399">
        <v>0</v>
      </c>
      <c r="Q46" s="399">
        <v>0</v>
      </c>
      <c r="R46" s="399">
        <v>0</v>
      </c>
      <c r="S46" s="400"/>
      <c r="T46" s="399">
        <v>0</v>
      </c>
      <c r="U46" s="399">
        <v>0</v>
      </c>
      <c r="V46" s="399">
        <v>0</v>
      </c>
      <c r="W46" s="400"/>
      <c r="X46" s="399">
        <v>0</v>
      </c>
      <c r="Y46" s="399">
        <v>0</v>
      </c>
      <c r="Z46" s="399">
        <v>0</v>
      </c>
      <c r="AA46" s="31"/>
      <c r="AB46" s="17"/>
    </row>
    <row r="47" spans="1:28" ht="13.6" customHeight="1">
      <c r="A47" s="17"/>
      <c r="B47" s="406"/>
      <c r="C47" s="407"/>
      <c r="D47" s="335"/>
      <c r="E47" s="335"/>
      <c r="F47" s="335"/>
      <c r="G47" s="409"/>
      <c r="H47" s="335"/>
      <c r="I47" s="335"/>
      <c r="J47" s="335"/>
      <c r="K47" s="409"/>
      <c r="L47" s="335"/>
      <c r="M47" s="335"/>
      <c r="N47" s="335"/>
      <c r="O47" s="409"/>
      <c r="P47" s="335"/>
      <c r="Q47" s="335"/>
      <c r="R47" s="335"/>
      <c r="S47" s="17"/>
      <c r="T47" s="335"/>
      <c r="U47" s="335"/>
      <c r="V47" s="335"/>
      <c r="W47" s="17"/>
      <c r="X47" s="335"/>
      <c r="Y47" s="335"/>
      <c r="Z47" s="335"/>
      <c r="AA47" s="17"/>
      <c r="AB47" s="17"/>
    </row>
    <row r="48" spans="1:28" ht="16.5" customHeight="1">
      <c r="A48" s="17"/>
      <c r="B48" s="743" t="s">
        <v>21</v>
      </c>
      <c r="C48" s="396" t="s">
        <v>239</v>
      </c>
      <c r="D48" s="398">
        <v>0</v>
      </c>
      <c r="E48" s="398">
        <v>0</v>
      </c>
      <c r="F48" s="398">
        <v>0</v>
      </c>
      <c r="G48" s="394"/>
      <c r="H48" s="398">
        <v>0</v>
      </c>
      <c r="I48" s="398">
        <v>0</v>
      </c>
      <c r="J48" s="398">
        <v>0</v>
      </c>
      <c r="K48" s="394"/>
      <c r="L48" s="398">
        <v>0</v>
      </c>
      <c r="M48" s="398">
        <v>0</v>
      </c>
      <c r="N48" s="398">
        <v>0</v>
      </c>
      <c r="O48" s="394"/>
      <c r="P48" s="398">
        <v>0</v>
      </c>
      <c r="Q48" s="398">
        <v>0</v>
      </c>
      <c r="R48" s="398">
        <v>0</v>
      </c>
      <c r="S48" s="394"/>
      <c r="T48" s="398">
        <v>0</v>
      </c>
      <c r="U48" s="398">
        <v>0</v>
      </c>
      <c r="V48" s="398">
        <v>0</v>
      </c>
      <c r="W48" s="394"/>
      <c r="X48" s="398">
        <v>0</v>
      </c>
      <c r="Y48" s="398">
        <v>0</v>
      </c>
      <c r="Z48" s="398">
        <v>0</v>
      </c>
      <c r="AA48" s="395"/>
      <c r="AB48" s="17"/>
    </row>
    <row r="49" spans="1:28">
      <c r="A49" s="17"/>
      <c r="B49" s="743"/>
      <c r="C49" s="407" t="s">
        <v>240</v>
      </c>
      <c r="D49" s="149">
        <v>0</v>
      </c>
      <c r="E49" s="149">
        <v>0</v>
      </c>
      <c r="F49" s="149">
        <v>0</v>
      </c>
      <c r="G49" s="400"/>
      <c r="H49" s="149">
        <v>0</v>
      </c>
      <c r="I49" s="149">
        <v>0</v>
      </c>
      <c r="J49" s="149">
        <v>0</v>
      </c>
      <c r="K49" s="400"/>
      <c r="L49" s="149">
        <v>0</v>
      </c>
      <c r="M49" s="149">
        <v>0</v>
      </c>
      <c r="N49" s="149">
        <v>0</v>
      </c>
      <c r="O49" s="400"/>
      <c r="P49" s="149">
        <v>0</v>
      </c>
      <c r="Q49" s="149">
        <v>0</v>
      </c>
      <c r="R49" s="149">
        <v>0</v>
      </c>
      <c r="S49" s="400"/>
      <c r="T49" s="149">
        <v>0</v>
      </c>
      <c r="U49" s="149">
        <v>0</v>
      </c>
      <c r="V49" s="149">
        <v>0</v>
      </c>
      <c r="W49" s="400"/>
      <c r="X49" s="149">
        <v>0</v>
      </c>
      <c r="Y49" s="149">
        <v>0</v>
      </c>
      <c r="Z49" s="149">
        <v>0</v>
      </c>
      <c r="AA49" s="31"/>
      <c r="AB49" s="17"/>
    </row>
    <row r="50" spans="1:28">
      <c r="A50" s="17"/>
      <c r="B50" s="406"/>
      <c r="C50" s="407"/>
      <c r="D50" s="335"/>
      <c r="E50" s="335"/>
      <c r="F50" s="335"/>
      <c r="G50" s="409"/>
      <c r="H50" s="335"/>
      <c r="I50" s="335"/>
      <c r="J50" s="335"/>
      <c r="K50" s="409"/>
      <c r="L50" s="335"/>
      <c r="M50" s="335"/>
      <c r="N50" s="335"/>
      <c r="O50" s="409"/>
      <c r="P50" s="335"/>
      <c r="Q50" s="335"/>
      <c r="R50" s="335"/>
      <c r="S50" s="17"/>
      <c r="T50" s="335"/>
      <c r="U50" s="335"/>
      <c r="V50" s="335"/>
      <c r="W50" s="17"/>
      <c r="X50" s="335"/>
      <c r="Y50" s="335"/>
      <c r="Z50" s="335"/>
      <c r="AA50" s="17"/>
      <c r="AB50" s="17"/>
    </row>
    <row r="51" spans="1:28">
      <c r="A51" s="17"/>
      <c r="B51" s="751" t="s">
        <v>224</v>
      </c>
      <c r="C51" s="418" t="s">
        <v>241</v>
      </c>
      <c r="D51" s="411" t="e">
        <f>D37/D38</f>
        <v>#DIV/0!</v>
      </c>
      <c r="E51" s="411" t="e">
        <f t="shared" ref="E51:F51" si="26">E37/E38</f>
        <v>#DIV/0!</v>
      </c>
      <c r="F51" s="411" t="e">
        <f t="shared" si="26"/>
        <v>#DIV/0!</v>
      </c>
      <c r="G51" s="394"/>
      <c r="H51" s="411" t="e">
        <f>H37/H38</f>
        <v>#DIV/0!</v>
      </c>
      <c r="I51" s="411" t="e">
        <f t="shared" ref="I51:J51" si="27">I37/I38</f>
        <v>#DIV/0!</v>
      </c>
      <c r="J51" s="411" t="e">
        <f t="shared" si="27"/>
        <v>#DIV/0!</v>
      </c>
      <c r="K51" s="394"/>
      <c r="L51" s="411" t="e">
        <f>L37/L38</f>
        <v>#DIV/0!</v>
      </c>
      <c r="M51" s="411" t="e">
        <f t="shared" ref="M51:N51" si="28">M37/M38</f>
        <v>#DIV/0!</v>
      </c>
      <c r="N51" s="411" t="e">
        <f t="shared" si="28"/>
        <v>#DIV/0!</v>
      </c>
      <c r="O51" s="394"/>
      <c r="P51" s="411" t="e">
        <f>P37/P38</f>
        <v>#DIV/0!</v>
      </c>
      <c r="Q51" s="411" t="e">
        <f t="shared" ref="Q51:R51" si="29">Q37/Q38</f>
        <v>#DIV/0!</v>
      </c>
      <c r="R51" s="411" t="e">
        <f t="shared" si="29"/>
        <v>#DIV/0!</v>
      </c>
      <c r="S51" s="394"/>
      <c r="T51" s="411" t="e">
        <f>T37/T38</f>
        <v>#DIV/0!</v>
      </c>
      <c r="U51" s="411" t="e">
        <f t="shared" ref="U51:V51" si="30">U37/U38</f>
        <v>#DIV/0!</v>
      </c>
      <c r="V51" s="411" t="e">
        <f t="shared" si="30"/>
        <v>#DIV/0!</v>
      </c>
      <c r="W51" s="394"/>
      <c r="X51" s="411" t="e">
        <f>X37/X38</f>
        <v>#DIV/0!</v>
      </c>
      <c r="Y51" s="411" t="e">
        <f t="shared" ref="Y51:Z51" si="31">Y37/Y38</f>
        <v>#DIV/0!</v>
      </c>
      <c r="Z51" s="411" t="e">
        <f t="shared" si="31"/>
        <v>#DIV/0!</v>
      </c>
      <c r="AA51" s="395"/>
      <c r="AB51" s="17"/>
    </row>
    <row r="52" spans="1:28">
      <c r="A52" s="17"/>
      <c r="B52" s="751"/>
      <c r="C52" s="418" t="s">
        <v>242</v>
      </c>
      <c r="D52" s="412" t="e">
        <f>D37/D38</f>
        <v>#DIV/0!</v>
      </c>
      <c r="E52" s="412" t="e">
        <f>E37/E38</f>
        <v>#DIV/0!</v>
      </c>
      <c r="F52" s="412" t="e">
        <f>F37/F38</f>
        <v>#DIV/0!</v>
      </c>
      <c r="G52" s="394"/>
      <c r="H52" s="412" t="e">
        <f>H37/H38</f>
        <v>#DIV/0!</v>
      </c>
      <c r="I52" s="412" t="e">
        <f>I37/I38</f>
        <v>#DIV/0!</v>
      </c>
      <c r="J52" s="412" t="e">
        <f>J37/J38</f>
        <v>#DIV/0!</v>
      </c>
      <c r="K52" s="394"/>
      <c r="L52" s="412" t="e">
        <f>L37/L38</f>
        <v>#DIV/0!</v>
      </c>
      <c r="M52" s="412" t="e">
        <f>M37/M38</f>
        <v>#DIV/0!</v>
      </c>
      <c r="N52" s="412" t="e">
        <f>N37/N38</f>
        <v>#DIV/0!</v>
      </c>
      <c r="O52" s="394"/>
      <c r="P52" s="412" t="e">
        <f>P37/P38</f>
        <v>#DIV/0!</v>
      </c>
      <c r="Q52" s="412" t="e">
        <f>Q37/Q38</f>
        <v>#DIV/0!</v>
      </c>
      <c r="R52" s="412" t="e">
        <f>R37/R38</f>
        <v>#DIV/0!</v>
      </c>
      <c r="S52" s="400"/>
      <c r="T52" s="412" t="e">
        <f>T37/T38</f>
        <v>#DIV/0!</v>
      </c>
      <c r="U52" s="412" t="e">
        <f>U37/U38</f>
        <v>#DIV/0!</v>
      </c>
      <c r="V52" s="412" t="e">
        <f>V37/V38</f>
        <v>#DIV/0!</v>
      </c>
      <c r="W52" s="400"/>
      <c r="X52" s="412" t="e">
        <f>X37/X38</f>
        <v>#DIV/0!</v>
      </c>
      <c r="Y52" s="412" t="e">
        <f>Y37/Y38</f>
        <v>#DIV/0!</v>
      </c>
      <c r="Z52" s="412" t="e">
        <f>Z37/Z38</f>
        <v>#DIV/0!</v>
      </c>
      <c r="AA52" s="31"/>
      <c r="AB52" s="17"/>
    </row>
    <row r="53" spans="1:28">
      <c r="A53" s="17"/>
      <c r="B53" s="751"/>
      <c r="C53" s="419" t="s">
        <v>243</v>
      </c>
      <c r="D53" s="414">
        <v>0</v>
      </c>
      <c r="E53" s="414">
        <v>0</v>
      </c>
      <c r="F53" s="414">
        <v>0</v>
      </c>
      <c r="G53" s="394"/>
      <c r="H53" s="414">
        <v>0</v>
      </c>
      <c r="I53" s="414">
        <v>0</v>
      </c>
      <c r="J53" s="414">
        <v>0</v>
      </c>
      <c r="K53" s="394"/>
      <c r="L53" s="414">
        <v>0</v>
      </c>
      <c r="M53" s="414">
        <v>0</v>
      </c>
      <c r="N53" s="414">
        <v>0</v>
      </c>
      <c r="O53" s="394"/>
      <c r="P53" s="414">
        <v>0</v>
      </c>
      <c r="Q53" s="414">
        <v>0</v>
      </c>
      <c r="R53" s="414">
        <v>0</v>
      </c>
      <c r="S53" s="394"/>
      <c r="T53" s="414">
        <v>0</v>
      </c>
      <c r="U53" s="414">
        <v>0</v>
      </c>
      <c r="V53" s="414">
        <v>0</v>
      </c>
      <c r="W53" s="394"/>
      <c r="X53" s="414">
        <v>0</v>
      </c>
      <c r="Y53" s="414">
        <v>0</v>
      </c>
      <c r="Z53" s="414">
        <v>0</v>
      </c>
      <c r="AA53" s="395"/>
      <c r="AB53" s="17"/>
    </row>
    <row r="54" spans="1:28">
      <c r="A54" s="17"/>
      <c r="B54" s="751"/>
      <c r="C54" s="419" t="s">
        <v>244</v>
      </c>
      <c r="D54" s="474">
        <v>0</v>
      </c>
      <c r="E54" s="474">
        <v>0</v>
      </c>
      <c r="F54" s="474">
        <v>0</v>
      </c>
      <c r="G54" s="400"/>
      <c r="H54" s="474">
        <v>0</v>
      </c>
      <c r="I54" s="474">
        <v>0</v>
      </c>
      <c r="J54" s="474">
        <v>0</v>
      </c>
      <c r="K54" s="400"/>
      <c r="L54" s="474">
        <v>0</v>
      </c>
      <c r="M54" s="474">
        <v>0</v>
      </c>
      <c r="N54" s="474">
        <v>0</v>
      </c>
      <c r="O54" s="400"/>
      <c r="P54" s="474">
        <v>0</v>
      </c>
      <c r="Q54" s="474">
        <v>0</v>
      </c>
      <c r="R54" s="474">
        <v>0</v>
      </c>
      <c r="S54" s="400"/>
      <c r="T54" s="474">
        <v>0</v>
      </c>
      <c r="U54" s="474">
        <v>0</v>
      </c>
      <c r="V54" s="474">
        <v>0</v>
      </c>
      <c r="W54" s="400"/>
      <c r="X54" s="474">
        <v>0</v>
      </c>
      <c r="Y54" s="474">
        <v>0</v>
      </c>
      <c r="Z54" s="474">
        <v>0</v>
      </c>
      <c r="AA54" s="31"/>
      <c r="AB54" s="17"/>
    </row>
    <row r="55" spans="1:28">
      <c r="A55" s="17"/>
      <c r="B55" s="751"/>
      <c r="C55" s="418" t="s">
        <v>245</v>
      </c>
      <c r="D55" s="474">
        <v>0</v>
      </c>
      <c r="E55" s="474">
        <v>0</v>
      </c>
      <c r="F55" s="474">
        <v>0</v>
      </c>
      <c r="G55" s="400"/>
      <c r="H55" s="474">
        <v>0</v>
      </c>
      <c r="I55" s="474">
        <v>0</v>
      </c>
      <c r="J55" s="474">
        <v>0</v>
      </c>
      <c r="K55" s="400"/>
      <c r="L55" s="474">
        <v>0</v>
      </c>
      <c r="M55" s="474">
        <v>0</v>
      </c>
      <c r="N55" s="474">
        <v>0</v>
      </c>
      <c r="O55" s="400"/>
      <c r="P55" s="474">
        <v>0</v>
      </c>
      <c r="Q55" s="474">
        <v>0</v>
      </c>
      <c r="R55" s="474">
        <v>0</v>
      </c>
      <c r="S55" s="144"/>
      <c r="T55" s="474">
        <v>0</v>
      </c>
      <c r="U55" s="474">
        <v>0</v>
      </c>
      <c r="V55" s="474">
        <v>0</v>
      </c>
      <c r="W55" s="144"/>
      <c r="X55" s="474">
        <v>0</v>
      </c>
      <c r="Y55" s="474">
        <v>0</v>
      </c>
      <c r="Z55" s="474">
        <v>0</v>
      </c>
      <c r="AA55" s="17"/>
      <c r="AB55" s="17"/>
    </row>
    <row r="56" spans="1:28">
      <c r="A56" s="17"/>
      <c r="B56" s="751"/>
      <c r="C56" s="418" t="s">
        <v>246</v>
      </c>
      <c r="D56" s="399">
        <v>0</v>
      </c>
      <c r="E56" s="399">
        <v>0</v>
      </c>
      <c r="F56" s="399">
        <v>0</v>
      </c>
      <c r="G56" s="400"/>
      <c r="H56" s="399">
        <v>0</v>
      </c>
      <c r="I56" s="399">
        <v>0</v>
      </c>
      <c r="J56" s="399">
        <v>0</v>
      </c>
      <c r="K56" s="400"/>
      <c r="L56" s="399">
        <v>0</v>
      </c>
      <c r="M56" s="399">
        <v>0</v>
      </c>
      <c r="N56" s="399">
        <v>0</v>
      </c>
      <c r="O56" s="400"/>
      <c r="P56" s="399">
        <v>0</v>
      </c>
      <c r="Q56" s="399">
        <v>0</v>
      </c>
      <c r="R56" s="399">
        <v>0</v>
      </c>
      <c r="S56" s="144"/>
      <c r="T56" s="399">
        <v>0</v>
      </c>
      <c r="U56" s="399">
        <v>0</v>
      </c>
      <c r="V56" s="399">
        <v>0</v>
      </c>
      <c r="W56" s="144"/>
      <c r="X56" s="399">
        <v>0</v>
      </c>
      <c r="Y56" s="399">
        <v>0</v>
      </c>
      <c r="Z56" s="399">
        <v>0</v>
      </c>
      <c r="AA56" s="17"/>
      <c r="AB56" s="17"/>
    </row>
    <row r="57" spans="1:28">
      <c r="A57" s="17"/>
      <c r="B57" s="751"/>
      <c r="C57" s="418" t="s">
        <v>247</v>
      </c>
      <c r="D57" s="415" t="e">
        <f>SUM(D58,D56)/D44</f>
        <v>#DIV/0!</v>
      </c>
      <c r="E57" s="415" t="e">
        <f>SUM(E58,E56)/E44</f>
        <v>#DIV/0!</v>
      </c>
      <c r="F57" s="415" t="e">
        <f>SUM(F58,F56)/F44</f>
        <v>#DIV/0!</v>
      </c>
      <c r="G57" s="416"/>
      <c r="H57" s="415" t="e">
        <f>SUM(H58,H56)/H44</f>
        <v>#DIV/0!</v>
      </c>
      <c r="I57" s="415" t="e">
        <f>SUM(I58,I56)/I44</f>
        <v>#DIV/0!</v>
      </c>
      <c r="J57" s="415" t="e">
        <f>SUM(J58,J56)/J44</f>
        <v>#DIV/0!</v>
      </c>
      <c r="K57" s="416"/>
      <c r="L57" s="415" t="e">
        <f>SUM(L58,L56)/L44</f>
        <v>#DIV/0!</v>
      </c>
      <c r="M57" s="415" t="e">
        <f>SUM(M58,M56)/M44</f>
        <v>#DIV/0!</v>
      </c>
      <c r="N57" s="415" t="e">
        <f>SUM(N58,N56)/N44</f>
        <v>#DIV/0!</v>
      </c>
      <c r="O57" s="400"/>
      <c r="P57" s="415" t="e">
        <f>SUM(P58,P56)/P44</f>
        <v>#DIV/0!</v>
      </c>
      <c r="Q57" s="415" t="e">
        <f>SUM(Q58,Q56)/Q44</f>
        <v>#DIV/0!</v>
      </c>
      <c r="R57" s="415" t="e">
        <f>SUM(R58,R56)/R44</f>
        <v>#DIV/0!</v>
      </c>
      <c r="S57" s="144"/>
      <c r="T57" s="415" t="e">
        <f>SUM(T58,T56)/T44</f>
        <v>#DIV/0!</v>
      </c>
      <c r="U57" s="415" t="e">
        <f>SUM(U58,U56)/U44</f>
        <v>#DIV/0!</v>
      </c>
      <c r="V57" s="415" t="e">
        <f>SUM(V58,V56)/V44</f>
        <v>#DIV/0!</v>
      </c>
      <c r="W57" s="144"/>
      <c r="X57" s="415" t="e">
        <f>SUM(X58,X56)/X44</f>
        <v>#DIV/0!</v>
      </c>
      <c r="Y57" s="415" t="e">
        <f>SUM(Y58,Y56)/Y44</f>
        <v>#DIV/0!</v>
      </c>
      <c r="Z57" s="415" t="e">
        <f>SUM(Z58,Z56)/Z44</f>
        <v>#DIV/0!</v>
      </c>
      <c r="AA57" s="17"/>
      <c r="AB57" s="17"/>
    </row>
    <row r="58" spans="1:28">
      <c r="A58" s="17"/>
      <c r="B58" s="751"/>
      <c r="C58" s="418" t="s">
        <v>248</v>
      </c>
      <c r="D58" s="149">
        <v>0</v>
      </c>
      <c r="E58" s="399">
        <v>0</v>
      </c>
      <c r="F58" s="399">
        <v>0</v>
      </c>
      <c r="G58" s="400"/>
      <c r="H58" s="149">
        <v>0</v>
      </c>
      <c r="I58" s="399">
        <v>0</v>
      </c>
      <c r="J58" s="399">
        <v>0</v>
      </c>
      <c r="K58" s="400"/>
      <c r="L58" s="149">
        <v>0</v>
      </c>
      <c r="M58" s="399">
        <v>0</v>
      </c>
      <c r="N58" s="399">
        <v>0</v>
      </c>
      <c r="O58" s="400"/>
      <c r="P58" s="149">
        <v>0</v>
      </c>
      <c r="Q58" s="399">
        <v>0</v>
      </c>
      <c r="R58" s="399">
        <v>0</v>
      </c>
      <c r="S58" s="144"/>
      <c r="T58" s="149">
        <v>0</v>
      </c>
      <c r="U58" s="399">
        <v>0</v>
      </c>
      <c r="V58" s="399">
        <v>0</v>
      </c>
      <c r="W58" s="144"/>
      <c r="X58" s="149">
        <v>0</v>
      </c>
      <c r="Y58" s="399">
        <v>0</v>
      </c>
      <c r="Z58" s="399">
        <v>0</v>
      </c>
      <c r="AA58" s="17"/>
      <c r="AB58" s="17"/>
    </row>
    <row r="59" spans="1:28">
      <c r="A59" s="17"/>
      <c r="B59" s="751"/>
      <c r="C59" s="418" t="s">
        <v>249</v>
      </c>
      <c r="D59" s="415" t="e">
        <f>D58/D44</f>
        <v>#DIV/0!</v>
      </c>
      <c r="E59" s="415" t="e">
        <f>E58/E44</f>
        <v>#DIV/0!</v>
      </c>
      <c r="F59" s="415" t="e">
        <f>F58/F44</f>
        <v>#DIV/0!</v>
      </c>
      <c r="G59" s="416"/>
      <c r="H59" s="415" t="e">
        <f>H58/H44</f>
        <v>#DIV/0!</v>
      </c>
      <c r="I59" s="415" t="e">
        <f>I58/I44</f>
        <v>#DIV/0!</v>
      </c>
      <c r="J59" s="415" t="e">
        <f>J58/J44</f>
        <v>#DIV/0!</v>
      </c>
      <c r="K59" s="416"/>
      <c r="L59" s="415" t="e">
        <f>L58/L44</f>
        <v>#DIV/0!</v>
      </c>
      <c r="M59" s="415" t="e">
        <f>M58/M44</f>
        <v>#DIV/0!</v>
      </c>
      <c r="N59" s="415" t="e">
        <f>N58/N44</f>
        <v>#DIV/0!</v>
      </c>
      <c r="O59" s="400"/>
      <c r="P59" s="415" t="e">
        <f>P58/P44</f>
        <v>#DIV/0!</v>
      </c>
      <c r="Q59" s="415" t="e">
        <f>Q58/Q44</f>
        <v>#DIV/0!</v>
      </c>
      <c r="R59" s="415" t="e">
        <f>R58/R44</f>
        <v>#DIV/0!</v>
      </c>
      <c r="S59" s="144"/>
      <c r="T59" s="415" t="e">
        <f>T58/T44</f>
        <v>#DIV/0!</v>
      </c>
      <c r="U59" s="415" t="e">
        <f>U58/U44</f>
        <v>#DIV/0!</v>
      </c>
      <c r="V59" s="415" t="e">
        <f>V58/V44</f>
        <v>#DIV/0!</v>
      </c>
      <c r="W59" s="144"/>
      <c r="X59" s="415" t="e">
        <f>X58/X44</f>
        <v>#DIV/0!</v>
      </c>
      <c r="Y59" s="415" t="e">
        <f>Y58/Y44</f>
        <v>#DIV/0!</v>
      </c>
      <c r="Z59" s="415" t="e">
        <f>Z58/Z44</f>
        <v>#DIV/0!</v>
      </c>
      <c r="AA59" s="17"/>
      <c r="AB59" s="17"/>
    </row>
    <row r="60" spans="1:28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B60" s="17"/>
    </row>
  </sheetData>
  <mergeCells count="33">
    <mergeCell ref="B51:B59"/>
    <mergeCell ref="T34:V34"/>
    <mergeCell ref="X34:Z34"/>
    <mergeCell ref="B35:C35"/>
    <mergeCell ref="B36:B41"/>
    <mergeCell ref="B43:B46"/>
    <mergeCell ref="B48:B49"/>
    <mergeCell ref="B34:C34"/>
    <mergeCell ref="D34:F34"/>
    <mergeCell ref="H34:J34"/>
    <mergeCell ref="L34:N34"/>
    <mergeCell ref="P34:R34"/>
    <mergeCell ref="B21:B29"/>
    <mergeCell ref="B32:Y32"/>
    <mergeCell ref="B33:C33"/>
    <mergeCell ref="D33:N33"/>
    <mergeCell ref="P33:Z33"/>
    <mergeCell ref="B18:B19"/>
    <mergeCell ref="C1:N1"/>
    <mergeCell ref="B2:Y2"/>
    <mergeCell ref="B3:C3"/>
    <mergeCell ref="D3:N3"/>
    <mergeCell ref="P3:Z3"/>
    <mergeCell ref="B4:C4"/>
    <mergeCell ref="D4:F4"/>
    <mergeCell ref="H4:J4"/>
    <mergeCell ref="L4:N4"/>
    <mergeCell ref="P4:R4"/>
    <mergeCell ref="T4:V4"/>
    <mergeCell ref="X4:Z4"/>
    <mergeCell ref="B5:C5"/>
    <mergeCell ref="B6:B11"/>
    <mergeCell ref="B13:B1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4" orientation="landscape" r:id="rId1"/>
  <headerFooter>
    <oddHeader>&amp;L&amp;G&amp;C&amp;"-,Negrito"&amp;18PRONTOS SOCORROS MUNICIPAIS DE TABOÃO DA SERRA
SPDM - ASSOCIAÇÃO PAULISTA PARA O DESENVOLVIMENTO DA MEDICINA&amp;R&amp;G</oddHeader>
  </headerFooter>
  <rowBreaks count="2" manualBreakCount="2">
    <brk id="29" max="16383" man="1"/>
    <brk id="30" max="16383" man="1"/>
  </rowBreaks>
  <colBreaks count="2" manualBreakCount="2">
    <brk id="26" max="1048575" man="1"/>
    <brk id="2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J44"/>
  <sheetViews>
    <sheetView view="pageBreakPreview" zoomScaleNormal="100" zoomScaleSheetLayoutView="100" workbookViewId="0">
      <selection activeCell="A7" sqref="A7"/>
    </sheetView>
  </sheetViews>
  <sheetFormatPr defaultColWidth="9.125" defaultRowHeight="14.3"/>
  <cols>
    <col min="1" max="9" width="9.125" style="17"/>
    <col min="10" max="10" width="10" style="17" customWidth="1"/>
    <col min="11" max="16384" width="9.125" style="17"/>
  </cols>
  <sheetData>
    <row r="1" spans="1:10" ht="31.95">
      <c r="A1" s="480" t="s">
        <v>0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ht="15.65">
      <c r="A2" s="481" t="s">
        <v>165</v>
      </c>
      <c r="B2" s="481"/>
      <c r="C2" s="481"/>
      <c r="D2" s="481"/>
      <c r="E2" s="481"/>
      <c r="F2" s="481"/>
      <c r="G2" s="481"/>
      <c r="H2" s="481"/>
      <c r="I2" s="481"/>
      <c r="J2" s="481"/>
    </row>
    <row r="3" spans="1:10" ht="24.45">
      <c r="A3" s="482" t="s">
        <v>1</v>
      </c>
      <c r="B3" s="482"/>
      <c r="C3" s="482"/>
      <c r="D3" s="482"/>
      <c r="E3" s="482"/>
      <c r="F3" s="482"/>
      <c r="G3" s="482"/>
      <c r="H3" s="482"/>
      <c r="I3" s="482"/>
      <c r="J3" s="482"/>
    </row>
    <row r="7" spans="1:10">
      <c r="A7"/>
    </row>
    <row r="8" spans="1:10" ht="18.350000000000001">
      <c r="A8" s="53" t="s">
        <v>84</v>
      </c>
    </row>
    <row r="9" spans="1:10" ht="18.350000000000001">
      <c r="A9" s="53"/>
    </row>
    <row r="10" spans="1:10" ht="15.65">
      <c r="A10" s="54"/>
    </row>
    <row r="11" spans="1:10" ht="15.65">
      <c r="A11" s="54" t="s">
        <v>85</v>
      </c>
    </row>
    <row r="12" spans="1:10" ht="15.65">
      <c r="A12" s="54" t="s">
        <v>190</v>
      </c>
    </row>
    <row r="13" spans="1:10" ht="15.65">
      <c r="A13" s="54" t="s">
        <v>86</v>
      </c>
    </row>
    <row r="14" spans="1:10" ht="15.65">
      <c r="A14" s="54" t="s">
        <v>200</v>
      </c>
    </row>
    <row r="15" spans="1:10" ht="15.65">
      <c r="A15" s="54" t="s">
        <v>147</v>
      </c>
    </row>
    <row r="16" spans="1:10" ht="15.65">
      <c r="A16" s="54" t="s">
        <v>169</v>
      </c>
    </row>
    <row r="17" spans="1:1" ht="15.65">
      <c r="A17" s="54" t="s">
        <v>122</v>
      </c>
    </row>
    <row r="18" spans="1:1" ht="15.65">
      <c r="A18" s="54" t="s">
        <v>201</v>
      </c>
    </row>
    <row r="19" spans="1:1" ht="15.65">
      <c r="A19" s="54" t="s">
        <v>202</v>
      </c>
    </row>
    <row r="20" spans="1:1" ht="15.65">
      <c r="A20" s="54" t="s">
        <v>203</v>
      </c>
    </row>
    <row r="21" spans="1:1" ht="15.65">
      <c r="A21" s="54"/>
    </row>
    <row r="22" spans="1:1" ht="15.65">
      <c r="A22" s="54"/>
    </row>
    <row r="44" spans="1:10" ht="23.1">
      <c r="A44" s="477"/>
      <c r="B44" s="477"/>
      <c r="C44" s="477"/>
      <c r="D44" s="477"/>
      <c r="E44" s="477"/>
      <c r="F44" s="477"/>
      <c r="G44" s="477"/>
      <c r="H44" s="477"/>
      <c r="I44" s="477"/>
      <c r="J44" s="477"/>
    </row>
  </sheetData>
  <mergeCells count="4">
    <mergeCell ref="A1:J1"/>
    <mergeCell ref="A2:J2"/>
    <mergeCell ref="A44:J44"/>
    <mergeCell ref="A3:J3"/>
  </mergeCells>
  <pageMargins left="0.35433070866141736" right="0.15748031496062992" top="1.4566929133858268" bottom="0.78740157480314965" header="0.31496062992125984" footer="0.31496062992125984"/>
  <pageSetup paperSize="9" scale="96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W110"/>
  <sheetViews>
    <sheetView view="pageBreakPreview" zoomScaleNormal="100" zoomScaleSheetLayoutView="100" workbookViewId="0">
      <selection activeCell="Z23" sqref="Z23"/>
    </sheetView>
  </sheetViews>
  <sheetFormatPr defaultColWidth="9.125" defaultRowHeight="10.9"/>
  <cols>
    <col min="1" max="1" width="6.625" style="184" customWidth="1"/>
    <col min="2" max="2" width="24.375" style="184" customWidth="1"/>
    <col min="3" max="19" width="7.875" style="184" customWidth="1"/>
    <col min="20" max="20" width="9.125" style="184"/>
    <col min="21" max="21" width="1.25" style="184" customWidth="1"/>
    <col min="22" max="16384" width="9.125" style="184"/>
  </cols>
  <sheetData>
    <row r="1" spans="1:23" ht="11.55" thickBot="1"/>
    <row r="2" spans="1:23" ht="15.8" customHeight="1" thickBot="1">
      <c r="A2" s="512" t="s">
        <v>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>
        <v>2022</v>
      </c>
      <c r="W2" s="498"/>
    </row>
    <row r="3" spans="1:23" ht="14.95" customHeight="1">
      <c r="A3" s="530" t="s">
        <v>263</v>
      </c>
      <c r="B3" s="530"/>
      <c r="C3" s="530"/>
      <c r="D3" s="530"/>
      <c r="E3" s="530"/>
      <c r="F3" s="530"/>
      <c r="G3" s="530"/>
      <c r="H3" s="530"/>
      <c r="I3" s="530"/>
      <c r="J3" s="530"/>
      <c r="K3" s="531"/>
      <c r="L3" s="528" t="s">
        <v>264</v>
      </c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</row>
    <row r="4" spans="1:23">
      <c r="A4" s="519" t="s">
        <v>18</v>
      </c>
      <c r="B4" s="505" t="s">
        <v>172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7"/>
    </row>
    <row r="5" spans="1:23">
      <c r="A5" s="520"/>
      <c r="B5" s="508" t="s">
        <v>173</v>
      </c>
      <c r="C5" s="483" t="s">
        <v>30</v>
      </c>
      <c r="D5" s="493"/>
      <c r="E5" s="484"/>
      <c r="F5" s="483" t="s">
        <v>31</v>
      </c>
      <c r="G5" s="493"/>
      <c r="H5" s="484"/>
      <c r="I5" s="483" t="s">
        <v>2</v>
      </c>
      <c r="J5" s="493"/>
      <c r="K5" s="484"/>
      <c r="L5" s="483" t="s">
        <v>32</v>
      </c>
      <c r="M5" s="493"/>
      <c r="N5" s="484"/>
      <c r="O5" s="483" t="s">
        <v>33</v>
      </c>
      <c r="P5" s="493"/>
      <c r="Q5" s="484"/>
      <c r="R5" s="483" t="s">
        <v>54</v>
      </c>
      <c r="S5" s="493"/>
      <c r="T5" s="484"/>
      <c r="V5" s="483" t="s">
        <v>174</v>
      </c>
      <c r="W5" s="484"/>
    </row>
    <row r="6" spans="1:23" ht="14.95" customHeight="1">
      <c r="A6" s="520"/>
      <c r="B6" s="509"/>
      <c r="C6" s="499" t="s">
        <v>194</v>
      </c>
      <c r="D6" s="504"/>
      <c r="E6" s="500"/>
      <c r="F6" s="499" t="s">
        <v>194</v>
      </c>
      <c r="G6" s="504"/>
      <c r="H6" s="500"/>
      <c r="I6" s="499" t="s">
        <v>194</v>
      </c>
      <c r="J6" s="504"/>
      <c r="K6" s="500"/>
      <c r="L6" s="499" t="s">
        <v>194</v>
      </c>
      <c r="M6" s="504"/>
      <c r="N6" s="500"/>
      <c r="O6" s="499" t="s">
        <v>194</v>
      </c>
      <c r="P6" s="504"/>
      <c r="Q6" s="500"/>
      <c r="R6" s="499" t="s">
        <v>194</v>
      </c>
      <c r="S6" s="504"/>
      <c r="T6" s="500"/>
      <c r="V6" s="499" t="s">
        <v>194</v>
      </c>
      <c r="W6" s="500"/>
    </row>
    <row r="7" spans="1:23" ht="14.95" customHeight="1">
      <c r="A7" s="520"/>
      <c r="B7" s="188" t="s">
        <v>35</v>
      </c>
      <c r="C7" s="494">
        <v>11749</v>
      </c>
      <c r="D7" s="495"/>
      <c r="E7" s="496"/>
      <c r="F7" s="494">
        <v>9776</v>
      </c>
      <c r="G7" s="495"/>
      <c r="H7" s="496"/>
      <c r="I7" s="494">
        <v>13096</v>
      </c>
      <c r="J7" s="495"/>
      <c r="K7" s="496"/>
      <c r="L7" s="490">
        <v>11862</v>
      </c>
      <c r="M7" s="491"/>
      <c r="N7" s="492"/>
      <c r="O7" s="490">
        <v>12976</v>
      </c>
      <c r="P7" s="491"/>
      <c r="Q7" s="492"/>
      <c r="R7" s="490">
        <v>0</v>
      </c>
      <c r="S7" s="491"/>
      <c r="T7" s="492"/>
      <c r="V7" s="490">
        <f>SUM(C7,F7,I7,L7,O7,R7)</f>
        <v>59459</v>
      </c>
      <c r="W7" s="492"/>
    </row>
    <row r="8" spans="1:23" ht="14.95" customHeight="1">
      <c r="A8" s="520"/>
      <c r="B8" s="188" t="s">
        <v>36</v>
      </c>
      <c r="C8" s="494">
        <v>2526</v>
      </c>
      <c r="D8" s="495"/>
      <c r="E8" s="496"/>
      <c r="F8" s="494">
        <v>2522</v>
      </c>
      <c r="G8" s="495"/>
      <c r="H8" s="496"/>
      <c r="I8" s="494">
        <v>2634</v>
      </c>
      <c r="J8" s="495"/>
      <c r="K8" s="496"/>
      <c r="L8" s="490">
        <v>2378</v>
      </c>
      <c r="M8" s="491"/>
      <c r="N8" s="492"/>
      <c r="O8" s="490">
        <v>2211</v>
      </c>
      <c r="P8" s="491"/>
      <c r="Q8" s="492"/>
      <c r="R8" s="490">
        <v>0</v>
      </c>
      <c r="S8" s="491"/>
      <c r="T8" s="492"/>
      <c r="V8" s="490">
        <f>SUM(C8,F8,I8,L8,O8,R8)</f>
        <v>12271</v>
      </c>
      <c r="W8" s="492"/>
    </row>
    <row r="9" spans="1:23" ht="14.95" customHeight="1">
      <c r="A9" s="520"/>
      <c r="B9" s="188" t="s">
        <v>177</v>
      </c>
      <c r="C9" s="494">
        <v>1619</v>
      </c>
      <c r="D9" s="495"/>
      <c r="E9" s="496"/>
      <c r="F9" s="494">
        <v>1318</v>
      </c>
      <c r="G9" s="495"/>
      <c r="H9" s="496"/>
      <c r="I9" s="494">
        <v>1434</v>
      </c>
      <c r="J9" s="495"/>
      <c r="K9" s="496"/>
      <c r="L9" s="490">
        <v>1273</v>
      </c>
      <c r="M9" s="491"/>
      <c r="N9" s="492"/>
      <c r="O9" s="490">
        <v>1123</v>
      </c>
      <c r="P9" s="491"/>
      <c r="Q9" s="492"/>
      <c r="R9" s="490">
        <v>0</v>
      </c>
      <c r="S9" s="491"/>
      <c r="T9" s="492"/>
      <c r="V9" s="490">
        <f>SUM(C9,F9,I9,L9,O9,R9)</f>
        <v>6767</v>
      </c>
      <c r="W9" s="492"/>
    </row>
    <row r="10" spans="1:23" ht="14.95" customHeight="1">
      <c r="A10" s="520"/>
      <c r="B10" s="319" t="s">
        <v>37</v>
      </c>
      <c r="C10" s="485">
        <f>SUM(C7:C9)</f>
        <v>15894</v>
      </c>
      <c r="D10" s="486"/>
      <c r="E10" s="487"/>
      <c r="F10" s="485">
        <f>SUM(F7:F9)</f>
        <v>13616</v>
      </c>
      <c r="G10" s="486"/>
      <c r="H10" s="487"/>
      <c r="I10" s="485">
        <f>SUM(I7:I9)</f>
        <v>17164</v>
      </c>
      <c r="J10" s="486"/>
      <c r="K10" s="487"/>
      <c r="L10" s="485">
        <f>SUM(L7:N9)</f>
        <v>15513</v>
      </c>
      <c r="M10" s="486"/>
      <c r="N10" s="487"/>
      <c r="O10" s="485">
        <f>SUM(O7:Q9)</f>
        <v>16310</v>
      </c>
      <c r="P10" s="486"/>
      <c r="Q10" s="487"/>
      <c r="R10" s="485">
        <f>SUM(R7:T9)</f>
        <v>0</v>
      </c>
      <c r="S10" s="486"/>
      <c r="T10" s="487"/>
      <c r="V10" s="488">
        <f>SUM(V7:W9)</f>
        <v>78497</v>
      </c>
      <c r="W10" s="489"/>
    </row>
    <row r="11" spans="1:23" ht="14.3">
      <c r="A11" s="520"/>
      <c r="B11" s="505" t="s">
        <v>178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7"/>
      <c r="V11" s="17"/>
      <c r="W11" s="17"/>
    </row>
    <row r="12" spans="1:23">
      <c r="A12" s="520"/>
      <c r="B12" s="508" t="s">
        <v>187</v>
      </c>
      <c r="C12" s="483" t="s">
        <v>30</v>
      </c>
      <c r="D12" s="493"/>
      <c r="E12" s="484"/>
      <c r="F12" s="483" t="s">
        <v>31</v>
      </c>
      <c r="G12" s="493"/>
      <c r="H12" s="484"/>
      <c r="I12" s="483" t="s">
        <v>2</v>
      </c>
      <c r="J12" s="493"/>
      <c r="K12" s="484"/>
      <c r="L12" s="483" t="s">
        <v>32</v>
      </c>
      <c r="M12" s="493"/>
      <c r="N12" s="484"/>
      <c r="O12" s="483" t="s">
        <v>33</v>
      </c>
      <c r="P12" s="493"/>
      <c r="Q12" s="484"/>
      <c r="R12" s="483" t="s">
        <v>54</v>
      </c>
      <c r="S12" s="493"/>
      <c r="T12" s="484"/>
      <c r="V12" s="483" t="s">
        <v>174</v>
      </c>
      <c r="W12" s="484"/>
    </row>
    <row r="13" spans="1:23" ht="14.95" customHeight="1">
      <c r="A13" s="520"/>
      <c r="B13" s="509"/>
      <c r="C13" s="499" t="s">
        <v>194</v>
      </c>
      <c r="D13" s="504"/>
      <c r="E13" s="500"/>
      <c r="F13" s="499" t="s">
        <v>194</v>
      </c>
      <c r="G13" s="504"/>
      <c r="H13" s="500"/>
      <c r="I13" s="499" t="s">
        <v>194</v>
      </c>
      <c r="J13" s="504"/>
      <c r="K13" s="500"/>
      <c r="L13" s="499" t="s">
        <v>194</v>
      </c>
      <c r="M13" s="504"/>
      <c r="N13" s="500"/>
      <c r="O13" s="499" t="s">
        <v>194</v>
      </c>
      <c r="P13" s="504"/>
      <c r="Q13" s="500"/>
      <c r="R13" s="499" t="s">
        <v>194</v>
      </c>
      <c r="S13" s="504"/>
      <c r="T13" s="500"/>
      <c r="V13" s="499" t="s">
        <v>194</v>
      </c>
      <c r="W13" s="500"/>
    </row>
    <row r="14" spans="1:23" ht="14.95" customHeight="1">
      <c r="A14" s="520"/>
      <c r="B14" s="188" t="s">
        <v>38</v>
      </c>
      <c r="C14" s="494">
        <v>62</v>
      </c>
      <c r="D14" s="495"/>
      <c r="E14" s="496"/>
      <c r="F14" s="494">
        <v>69</v>
      </c>
      <c r="G14" s="495"/>
      <c r="H14" s="496"/>
      <c r="I14" s="494">
        <v>71</v>
      </c>
      <c r="J14" s="495"/>
      <c r="K14" s="496"/>
      <c r="L14" s="490">
        <v>86</v>
      </c>
      <c r="M14" s="491"/>
      <c r="N14" s="492"/>
      <c r="O14" s="490">
        <v>61</v>
      </c>
      <c r="P14" s="491"/>
      <c r="Q14" s="492"/>
      <c r="R14" s="490">
        <v>0</v>
      </c>
      <c r="S14" s="491"/>
      <c r="T14" s="492"/>
      <c r="V14" s="490">
        <f>SUM(C14,F14,I14,L14,O14,R14)</f>
        <v>349</v>
      </c>
      <c r="W14" s="492"/>
    </row>
    <row r="15" spans="1:23" ht="14.95" customHeight="1">
      <c r="A15" s="520"/>
      <c r="B15" s="188" t="s">
        <v>39</v>
      </c>
      <c r="C15" s="494">
        <v>7</v>
      </c>
      <c r="D15" s="495"/>
      <c r="E15" s="496"/>
      <c r="F15" s="494">
        <v>13</v>
      </c>
      <c r="G15" s="495"/>
      <c r="H15" s="496"/>
      <c r="I15" s="494">
        <v>7</v>
      </c>
      <c r="J15" s="495"/>
      <c r="K15" s="496"/>
      <c r="L15" s="490">
        <v>8</v>
      </c>
      <c r="M15" s="491"/>
      <c r="N15" s="492"/>
      <c r="O15" s="490">
        <v>9</v>
      </c>
      <c r="P15" s="491"/>
      <c r="Q15" s="492"/>
      <c r="R15" s="490">
        <v>0</v>
      </c>
      <c r="S15" s="491"/>
      <c r="T15" s="492"/>
      <c r="V15" s="490">
        <f>SUM(C15,F15,I15,L15,O15,R15)</f>
        <v>44</v>
      </c>
      <c r="W15" s="492"/>
    </row>
    <row r="16" spans="1:23" ht="14.95" customHeight="1">
      <c r="A16" s="520"/>
      <c r="B16" s="188" t="s">
        <v>35</v>
      </c>
      <c r="C16" s="494">
        <v>163</v>
      </c>
      <c r="D16" s="495"/>
      <c r="E16" s="496"/>
      <c r="F16" s="494">
        <v>127</v>
      </c>
      <c r="G16" s="495"/>
      <c r="H16" s="496"/>
      <c r="I16" s="494">
        <v>134</v>
      </c>
      <c r="J16" s="495"/>
      <c r="K16" s="496"/>
      <c r="L16" s="490">
        <v>129</v>
      </c>
      <c r="M16" s="491"/>
      <c r="N16" s="492"/>
      <c r="O16" s="490">
        <v>145</v>
      </c>
      <c r="P16" s="491"/>
      <c r="Q16" s="492"/>
      <c r="R16" s="490">
        <v>0</v>
      </c>
      <c r="S16" s="491"/>
      <c r="T16" s="492"/>
      <c r="V16" s="490">
        <f>SUM(C16,F16,I16,L16,O16,R16)</f>
        <v>698</v>
      </c>
      <c r="W16" s="492"/>
    </row>
    <row r="17" spans="1:23" ht="14.95" customHeight="1">
      <c r="A17" s="521"/>
      <c r="B17" s="319" t="s">
        <v>37</v>
      </c>
      <c r="C17" s="485">
        <f>SUM(C14:C16)</f>
        <v>232</v>
      </c>
      <c r="D17" s="486"/>
      <c r="E17" s="487"/>
      <c r="F17" s="485">
        <f>SUM(F14:H16)</f>
        <v>209</v>
      </c>
      <c r="G17" s="486"/>
      <c r="H17" s="487"/>
      <c r="I17" s="485">
        <f t="shared" ref="I17" si="0">SUM(I14:I16)</f>
        <v>212</v>
      </c>
      <c r="J17" s="486"/>
      <c r="K17" s="487"/>
      <c r="L17" s="485">
        <f>SUM(L14:N16)</f>
        <v>223</v>
      </c>
      <c r="M17" s="486"/>
      <c r="N17" s="487"/>
      <c r="O17" s="485">
        <f>SUM(O14:Q16)</f>
        <v>215</v>
      </c>
      <c r="P17" s="486"/>
      <c r="Q17" s="487"/>
      <c r="R17" s="485">
        <f>SUM(R14:T16)</f>
        <v>0</v>
      </c>
      <c r="S17" s="486"/>
      <c r="T17" s="487"/>
      <c r="U17" s="192"/>
      <c r="V17" s="488">
        <f>SUM(V14:W16)</f>
        <v>1091</v>
      </c>
      <c r="W17" s="489"/>
    </row>
    <row r="18" spans="1:23" s="193" customFormat="1" ht="14.3">
      <c r="B18" s="316"/>
      <c r="C18" s="316"/>
      <c r="D18" s="316"/>
      <c r="E18" s="34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194"/>
      <c r="V18" s="17"/>
      <c r="W18" s="17"/>
    </row>
    <row r="19" spans="1:23" s="193" customFormat="1">
      <c r="A19" s="510" t="s">
        <v>19</v>
      </c>
      <c r="B19" s="505" t="s">
        <v>172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7"/>
      <c r="U19" s="184"/>
      <c r="V19" s="184"/>
      <c r="W19" s="184"/>
    </row>
    <row r="20" spans="1:23">
      <c r="A20" s="511"/>
      <c r="B20" s="508" t="s">
        <v>173</v>
      </c>
      <c r="C20" s="483" t="s">
        <v>30</v>
      </c>
      <c r="D20" s="493"/>
      <c r="E20" s="484"/>
      <c r="F20" s="483" t="s">
        <v>31</v>
      </c>
      <c r="G20" s="493"/>
      <c r="H20" s="484"/>
      <c r="I20" s="483" t="s">
        <v>2</v>
      </c>
      <c r="J20" s="493"/>
      <c r="K20" s="484"/>
      <c r="L20" s="483" t="s">
        <v>32</v>
      </c>
      <c r="M20" s="493"/>
      <c r="N20" s="484"/>
      <c r="O20" s="483" t="s">
        <v>33</v>
      </c>
      <c r="P20" s="493"/>
      <c r="Q20" s="484"/>
      <c r="R20" s="483" t="s">
        <v>54</v>
      </c>
      <c r="S20" s="493"/>
      <c r="T20" s="484"/>
      <c r="V20" s="483" t="s">
        <v>174</v>
      </c>
      <c r="W20" s="484"/>
    </row>
    <row r="21" spans="1:23" ht="14.95" customHeight="1">
      <c r="A21" s="511"/>
      <c r="B21" s="509"/>
      <c r="C21" s="499" t="s">
        <v>194</v>
      </c>
      <c r="D21" s="504"/>
      <c r="E21" s="500"/>
      <c r="F21" s="499" t="s">
        <v>194</v>
      </c>
      <c r="G21" s="504"/>
      <c r="H21" s="500"/>
      <c r="I21" s="499" t="s">
        <v>194</v>
      </c>
      <c r="J21" s="504"/>
      <c r="K21" s="500"/>
      <c r="L21" s="499" t="s">
        <v>194</v>
      </c>
      <c r="M21" s="504"/>
      <c r="N21" s="500"/>
      <c r="O21" s="499" t="s">
        <v>194</v>
      </c>
      <c r="P21" s="504"/>
      <c r="Q21" s="500"/>
      <c r="R21" s="499" t="s">
        <v>194</v>
      </c>
      <c r="S21" s="504"/>
      <c r="T21" s="500"/>
      <c r="V21" s="499" t="s">
        <v>194</v>
      </c>
      <c r="W21" s="500"/>
    </row>
    <row r="22" spans="1:23" ht="14.95" customHeight="1">
      <c r="A22" s="511"/>
      <c r="B22" s="188" t="s">
        <v>35</v>
      </c>
      <c r="C22" s="490">
        <v>12842</v>
      </c>
      <c r="D22" s="491"/>
      <c r="E22" s="492"/>
      <c r="F22" s="490">
        <v>3909</v>
      </c>
      <c r="G22" s="491"/>
      <c r="H22" s="492"/>
      <c r="I22" s="490">
        <v>6179</v>
      </c>
      <c r="J22" s="491"/>
      <c r="K22" s="492"/>
      <c r="L22" s="490">
        <v>7126</v>
      </c>
      <c r="M22" s="491"/>
      <c r="N22" s="492"/>
      <c r="O22" s="490">
        <v>9090</v>
      </c>
      <c r="P22" s="491"/>
      <c r="Q22" s="492"/>
      <c r="R22" s="490">
        <v>0</v>
      </c>
      <c r="S22" s="491"/>
      <c r="T22" s="492"/>
      <c r="V22" s="490">
        <f>SUM(C22,F22,I22,L22,O22,R22)</f>
        <v>39146</v>
      </c>
      <c r="W22" s="492"/>
    </row>
    <row r="23" spans="1:23" ht="14.95" customHeight="1">
      <c r="A23" s="511"/>
      <c r="B23" s="188" t="s">
        <v>40</v>
      </c>
      <c r="C23" s="490">
        <v>0</v>
      </c>
      <c r="D23" s="491"/>
      <c r="E23" s="492"/>
      <c r="F23" s="490">
        <v>113</v>
      </c>
      <c r="G23" s="491"/>
      <c r="H23" s="492"/>
      <c r="I23" s="490">
        <v>68</v>
      </c>
      <c r="J23" s="491"/>
      <c r="K23" s="492"/>
      <c r="L23" s="490">
        <v>1028</v>
      </c>
      <c r="M23" s="491"/>
      <c r="N23" s="492"/>
      <c r="O23" s="490">
        <v>1834</v>
      </c>
      <c r="P23" s="491"/>
      <c r="Q23" s="492"/>
      <c r="R23" s="490">
        <v>0</v>
      </c>
      <c r="S23" s="491"/>
      <c r="T23" s="492"/>
      <c r="V23" s="490">
        <f>SUM(C23,F23,I23,L23,O23,R23)</f>
        <v>3043</v>
      </c>
      <c r="W23" s="492"/>
    </row>
    <row r="24" spans="1:23" ht="14.95" customHeight="1">
      <c r="A24" s="511"/>
      <c r="B24" s="319" t="s">
        <v>37</v>
      </c>
      <c r="C24" s="485">
        <f>SUM(C22:C23)</f>
        <v>12842</v>
      </c>
      <c r="D24" s="486"/>
      <c r="E24" s="487"/>
      <c r="F24" s="485">
        <f t="shared" ref="F24:I24" si="1">SUM(F22:F23)</f>
        <v>4022</v>
      </c>
      <c r="G24" s="486"/>
      <c r="H24" s="487"/>
      <c r="I24" s="485">
        <f t="shared" si="1"/>
        <v>6247</v>
      </c>
      <c r="J24" s="486"/>
      <c r="K24" s="487"/>
      <c r="L24" s="485">
        <f>SUM(L21:N23)</f>
        <v>8154</v>
      </c>
      <c r="M24" s="486"/>
      <c r="N24" s="487"/>
      <c r="O24" s="485">
        <f>SUM(O21:Q23)</f>
        <v>10924</v>
      </c>
      <c r="P24" s="486"/>
      <c r="Q24" s="487"/>
      <c r="R24" s="485">
        <f>SUM(R21:T23)</f>
        <v>0</v>
      </c>
      <c r="S24" s="486"/>
      <c r="T24" s="487"/>
      <c r="V24" s="488">
        <f>SUM(V22:W23)</f>
        <v>42189</v>
      </c>
      <c r="W24" s="489"/>
    </row>
    <row r="25" spans="1:23" ht="14.95" customHeight="1">
      <c r="A25" s="511"/>
      <c r="B25" s="505" t="s">
        <v>178</v>
      </c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7"/>
      <c r="U25" s="313"/>
      <c r="V25" s="313"/>
      <c r="W25" s="313"/>
    </row>
    <row r="26" spans="1:23" ht="14.95" customHeight="1">
      <c r="A26" s="511"/>
      <c r="B26" s="508" t="s">
        <v>187</v>
      </c>
      <c r="C26" s="483" t="s">
        <v>30</v>
      </c>
      <c r="D26" s="493"/>
      <c r="E26" s="484"/>
      <c r="F26" s="483" t="s">
        <v>31</v>
      </c>
      <c r="G26" s="493"/>
      <c r="H26" s="484"/>
      <c r="I26" s="483" t="s">
        <v>2</v>
      </c>
      <c r="J26" s="493"/>
      <c r="K26" s="484"/>
      <c r="L26" s="483" t="s">
        <v>32</v>
      </c>
      <c r="M26" s="493"/>
      <c r="N26" s="484"/>
      <c r="O26" s="483" t="s">
        <v>33</v>
      </c>
      <c r="P26" s="493"/>
      <c r="Q26" s="484"/>
      <c r="R26" s="483" t="s">
        <v>54</v>
      </c>
      <c r="S26" s="493"/>
      <c r="T26" s="484"/>
      <c r="V26" s="483" t="s">
        <v>174</v>
      </c>
      <c r="W26" s="484"/>
    </row>
    <row r="27" spans="1:23" ht="14.95" customHeight="1">
      <c r="A27" s="511"/>
      <c r="B27" s="509"/>
      <c r="C27" s="499" t="s">
        <v>194</v>
      </c>
      <c r="D27" s="504"/>
      <c r="E27" s="500"/>
      <c r="F27" s="499" t="s">
        <v>194</v>
      </c>
      <c r="G27" s="504"/>
      <c r="H27" s="500"/>
      <c r="I27" s="499" t="s">
        <v>194</v>
      </c>
      <c r="J27" s="504"/>
      <c r="K27" s="500"/>
      <c r="L27" s="499" t="s">
        <v>194</v>
      </c>
      <c r="M27" s="504"/>
      <c r="N27" s="500"/>
      <c r="O27" s="499" t="s">
        <v>194</v>
      </c>
      <c r="P27" s="504"/>
      <c r="Q27" s="500"/>
      <c r="R27" s="499" t="s">
        <v>194</v>
      </c>
      <c r="S27" s="504"/>
      <c r="T27" s="500"/>
      <c r="V27" s="499" t="s">
        <v>194</v>
      </c>
      <c r="W27" s="500"/>
    </row>
    <row r="28" spans="1:23" ht="14.95" customHeight="1">
      <c r="A28" s="511"/>
      <c r="B28" s="188" t="s">
        <v>35</v>
      </c>
      <c r="C28" s="490">
        <v>128</v>
      </c>
      <c r="D28" s="491"/>
      <c r="E28" s="492"/>
      <c r="F28" s="490">
        <v>70</v>
      </c>
      <c r="G28" s="491"/>
      <c r="H28" s="492"/>
      <c r="I28" s="490">
        <v>78</v>
      </c>
      <c r="J28" s="491"/>
      <c r="K28" s="492"/>
      <c r="L28" s="490">
        <v>66</v>
      </c>
      <c r="M28" s="491"/>
      <c r="N28" s="492"/>
      <c r="O28" s="490">
        <v>104</v>
      </c>
      <c r="P28" s="491"/>
      <c r="Q28" s="492"/>
      <c r="R28" s="490">
        <v>0</v>
      </c>
      <c r="S28" s="491"/>
      <c r="T28" s="492"/>
      <c r="V28" s="490">
        <f>SUM(C28,F28,I28,L28,O28,R28)</f>
        <v>446</v>
      </c>
      <c r="W28" s="492"/>
    </row>
    <row r="29" spans="1:23" ht="14.95" customHeight="1">
      <c r="A29" s="511"/>
      <c r="B29" s="188" t="s">
        <v>40</v>
      </c>
      <c r="C29" s="490">
        <v>0</v>
      </c>
      <c r="D29" s="491"/>
      <c r="E29" s="492"/>
      <c r="F29" s="490">
        <v>34</v>
      </c>
      <c r="G29" s="491"/>
      <c r="H29" s="492"/>
      <c r="I29" s="490">
        <v>86</v>
      </c>
      <c r="J29" s="491"/>
      <c r="K29" s="492"/>
      <c r="L29" s="490">
        <v>53</v>
      </c>
      <c r="M29" s="491"/>
      <c r="N29" s="492"/>
      <c r="O29" s="490">
        <v>30</v>
      </c>
      <c r="P29" s="491"/>
      <c r="Q29" s="492"/>
      <c r="R29" s="490">
        <v>0</v>
      </c>
      <c r="S29" s="491"/>
      <c r="T29" s="492"/>
      <c r="V29" s="490">
        <f>SUM(C29,F29,I29,L29,O29,R29)</f>
        <v>203</v>
      </c>
      <c r="W29" s="492"/>
    </row>
    <row r="30" spans="1:23" ht="14.95" customHeight="1">
      <c r="A30" s="511"/>
      <c r="B30" s="319" t="s">
        <v>37</v>
      </c>
      <c r="C30" s="485">
        <f t="shared" ref="C30" si="2">SUM(C28:E29)</f>
        <v>128</v>
      </c>
      <c r="D30" s="486"/>
      <c r="E30" s="487"/>
      <c r="F30" s="485">
        <f t="shared" ref="F30" si="3">SUM(F28:H29)</f>
        <v>104</v>
      </c>
      <c r="G30" s="486"/>
      <c r="H30" s="487"/>
      <c r="I30" s="485">
        <f t="shared" ref="I30" si="4">SUM(I28:K29)</f>
        <v>164</v>
      </c>
      <c r="J30" s="486"/>
      <c r="K30" s="487"/>
      <c r="L30" s="485">
        <f t="shared" ref="L30" si="5">SUM(L28:N29)</f>
        <v>119</v>
      </c>
      <c r="M30" s="486"/>
      <c r="N30" s="487"/>
      <c r="O30" s="485">
        <f>SUM(O28:Q29)</f>
        <v>134</v>
      </c>
      <c r="P30" s="486"/>
      <c r="Q30" s="487"/>
      <c r="R30" s="485">
        <f>SUM(R28:T29)</f>
        <v>0</v>
      </c>
      <c r="S30" s="486"/>
      <c r="T30" s="487"/>
      <c r="V30" s="488">
        <f>SUM(V28:W29)</f>
        <v>649</v>
      </c>
      <c r="W30" s="489"/>
    </row>
    <row r="31" spans="1:23" s="193" customFormat="1" ht="14.3">
      <c r="B31" s="31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314"/>
      <c r="P31" s="314"/>
      <c r="Q31" s="315"/>
      <c r="R31" s="314"/>
      <c r="S31" s="314"/>
      <c r="T31" s="315"/>
      <c r="U31" s="192"/>
      <c r="V31" s="17"/>
      <c r="W31" s="17"/>
    </row>
    <row r="32" spans="1:23" s="193" customFormat="1">
      <c r="A32" s="525" t="s">
        <v>20</v>
      </c>
      <c r="B32" s="505" t="s">
        <v>172</v>
      </c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7"/>
      <c r="U32" s="194"/>
      <c r="V32" s="184"/>
      <c r="W32" s="184"/>
    </row>
    <row r="33" spans="1:23">
      <c r="A33" s="526"/>
      <c r="B33" s="508" t="s">
        <v>173</v>
      </c>
      <c r="C33" s="483" t="s">
        <v>30</v>
      </c>
      <c r="D33" s="493"/>
      <c r="E33" s="484"/>
      <c r="F33" s="483" t="s">
        <v>31</v>
      </c>
      <c r="G33" s="493"/>
      <c r="H33" s="484"/>
      <c r="I33" s="483" t="s">
        <v>2</v>
      </c>
      <c r="J33" s="493"/>
      <c r="K33" s="484"/>
      <c r="L33" s="483" t="s">
        <v>32</v>
      </c>
      <c r="M33" s="493"/>
      <c r="N33" s="484"/>
      <c r="O33" s="483" t="s">
        <v>33</v>
      </c>
      <c r="P33" s="493"/>
      <c r="Q33" s="484"/>
      <c r="R33" s="483" t="s">
        <v>54</v>
      </c>
      <c r="S33" s="493"/>
      <c r="T33" s="484"/>
      <c r="V33" s="483" t="s">
        <v>174</v>
      </c>
      <c r="W33" s="484"/>
    </row>
    <row r="34" spans="1:23" ht="14.95" customHeight="1">
      <c r="A34" s="526"/>
      <c r="B34" s="509"/>
      <c r="C34" s="499" t="s">
        <v>194</v>
      </c>
      <c r="D34" s="504"/>
      <c r="E34" s="500"/>
      <c r="F34" s="499" t="s">
        <v>194</v>
      </c>
      <c r="G34" s="504"/>
      <c r="H34" s="500"/>
      <c r="I34" s="499" t="s">
        <v>194</v>
      </c>
      <c r="J34" s="504"/>
      <c r="K34" s="500"/>
      <c r="L34" s="499" t="s">
        <v>194</v>
      </c>
      <c r="M34" s="504"/>
      <c r="N34" s="500"/>
      <c r="O34" s="499" t="s">
        <v>194</v>
      </c>
      <c r="P34" s="504"/>
      <c r="Q34" s="500"/>
      <c r="R34" s="499" t="s">
        <v>194</v>
      </c>
      <c r="S34" s="504"/>
      <c r="T34" s="500"/>
      <c r="V34" s="499" t="s">
        <v>194</v>
      </c>
      <c r="W34" s="500"/>
    </row>
    <row r="35" spans="1:23" ht="14.95" customHeight="1">
      <c r="A35" s="526"/>
      <c r="B35" s="188" t="s">
        <v>40</v>
      </c>
      <c r="C35" s="494">
        <v>7759</v>
      </c>
      <c r="D35" s="495"/>
      <c r="E35" s="496"/>
      <c r="F35" s="494">
        <v>6699</v>
      </c>
      <c r="G35" s="495"/>
      <c r="H35" s="496"/>
      <c r="I35" s="494">
        <v>9803</v>
      </c>
      <c r="J35" s="495"/>
      <c r="K35" s="496"/>
      <c r="L35" s="490">
        <v>9545</v>
      </c>
      <c r="M35" s="491"/>
      <c r="N35" s="492"/>
      <c r="O35" s="490">
        <v>10522</v>
      </c>
      <c r="P35" s="491"/>
      <c r="Q35" s="492"/>
      <c r="R35" s="490">
        <v>0</v>
      </c>
      <c r="S35" s="491"/>
      <c r="T35" s="492"/>
      <c r="V35" s="490">
        <f>SUM(C35,F35,I35,L35,O35,R35)</f>
        <v>44328</v>
      </c>
      <c r="W35" s="492"/>
    </row>
    <row r="36" spans="1:23" ht="14.3">
      <c r="A36" s="526"/>
      <c r="B36" s="505" t="s">
        <v>178</v>
      </c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7"/>
      <c r="V36" s="17"/>
      <c r="W36" s="17"/>
    </row>
    <row r="37" spans="1:23">
      <c r="A37" s="526"/>
      <c r="B37" s="508" t="s">
        <v>187</v>
      </c>
      <c r="C37" s="483" t="s">
        <v>30</v>
      </c>
      <c r="D37" s="493"/>
      <c r="E37" s="484"/>
      <c r="F37" s="483" t="s">
        <v>31</v>
      </c>
      <c r="G37" s="493"/>
      <c r="H37" s="484"/>
      <c r="I37" s="483" t="s">
        <v>2</v>
      </c>
      <c r="J37" s="493"/>
      <c r="K37" s="484"/>
      <c r="L37" s="483" t="s">
        <v>32</v>
      </c>
      <c r="M37" s="493"/>
      <c r="N37" s="484"/>
      <c r="O37" s="483" t="s">
        <v>33</v>
      </c>
      <c r="P37" s="493"/>
      <c r="Q37" s="484"/>
      <c r="R37" s="483" t="s">
        <v>54</v>
      </c>
      <c r="S37" s="493"/>
      <c r="T37" s="484"/>
      <c r="V37" s="483" t="s">
        <v>174</v>
      </c>
      <c r="W37" s="484"/>
    </row>
    <row r="38" spans="1:23" ht="14.95" customHeight="1">
      <c r="A38" s="526"/>
      <c r="B38" s="509"/>
      <c r="C38" s="499" t="s">
        <v>194</v>
      </c>
      <c r="D38" s="504"/>
      <c r="E38" s="500"/>
      <c r="F38" s="499" t="s">
        <v>194</v>
      </c>
      <c r="G38" s="504"/>
      <c r="H38" s="500"/>
      <c r="I38" s="499" t="s">
        <v>194</v>
      </c>
      <c r="J38" s="504"/>
      <c r="K38" s="500"/>
      <c r="L38" s="499" t="s">
        <v>194</v>
      </c>
      <c r="M38" s="504"/>
      <c r="N38" s="500"/>
      <c r="O38" s="499" t="s">
        <v>194</v>
      </c>
      <c r="P38" s="504"/>
      <c r="Q38" s="500"/>
      <c r="R38" s="499" t="s">
        <v>194</v>
      </c>
      <c r="S38" s="504"/>
      <c r="T38" s="500"/>
      <c r="V38" s="499" t="s">
        <v>194</v>
      </c>
      <c r="W38" s="500"/>
    </row>
    <row r="39" spans="1:23" ht="14.95" customHeight="1">
      <c r="A39" s="527"/>
      <c r="B39" s="188" t="s">
        <v>40</v>
      </c>
      <c r="C39" s="494">
        <v>92</v>
      </c>
      <c r="D39" s="495"/>
      <c r="E39" s="496"/>
      <c r="F39" s="494">
        <v>58</v>
      </c>
      <c r="G39" s="495"/>
      <c r="H39" s="496"/>
      <c r="I39" s="494">
        <v>63</v>
      </c>
      <c r="J39" s="495"/>
      <c r="K39" s="496"/>
      <c r="L39" s="490">
        <v>100</v>
      </c>
      <c r="M39" s="491"/>
      <c r="N39" s="492"/>
      <c r="O39" s="490">
        <v>150</v>
      </c>
      <c r="P39" s="491"/>
      <c r="Q39" s="492"/>
      <c r="R39" s="490">
        <v>0</v>
      </c>
      <c r="S39" s="491"/>
      <c r="T39" s="492"/>
      <c r="V39" s="490">
        <f>SUM(C39,F39,I39,L39,O39,R39)</f>
        <v>463</v>
      </c>
      <c r="W39" s="492"/>
    </row>
    <row r="40" spans="1:23" ht="14.3">
      <c r="B40" s="309"/>
      <c r="C40" s="310"/>
      <c r="D40" s="311"/>
      <c r="E40" s="312"/>
      <c r="F40" s="310"/>
      <c r="G40" s="311"/>
      <c r="H40" s="312"/>
      <c r="I40" s="310"/>
      <c r="J40" s="311"/>
      <c r="K40" s="312"/>
      <c r="L40" s="310"/>
      <c r="M40" s="311"/>
      <c r="N40" s="312"/>
      <c r="O40" s="310"/>
      <c r="P40" s="311"/>
      <c r="Q40" s="312"/>
      <c r="R40" s="310"/>
      <c r="S40" s="311"/>
      <c r="T40" s="312"/>
      <c r="V40" s="17"/>
      <c r="W40" s="17"/>
    </row>
    <row r="41" spans="1:23">
      <c r="B41" s="309"/>
      <c r="C41" s="483" t="s">
        <v>30</v>
      </c>
      <c r="D41" s="493"/>
      <c r="E41" s="484"/>
      <c r="F41" s="483" t="s">
        <v>31</v>
      </c>
      <c r="G41" s="493"/>
      <c r="H41" s="484"/>
      <c r="I41" s="483" t="s">
        <v>2</v>
      </c>
      <c r="J41" s="493"/>
      <c r="K41" s="484"/>
      <c r="L41" s="483" t="s">
        <v>32</v>
      </c>
      <c r="M41" s="493"/>
      <c r="N41" s="484"/>
      <c r="O41" s="483" t="s">
        <v>33</v>
      </c>
      <c r="P41" s="493"/>
      <c r="Q41" s="484"/>
      <c r="R41" s="483" t="s">
        <v>54</v>
      </c>
      <c r="S41" s="493"/>
      <c r="T41" s="484"/>
      <c r="V41" s="483" t="s">
        <v>174</v>
      </c>
      <c r="W41" s="484"/>
    </row>
    <row r="42" spans="1:23">
      <c r="B42" s="195"/>
      <c r="C42" s="185" t="s">
        <v>175</v>
      </c>
      <c r="D42" s="186" t="s">
        <v>176</v>
      </c>
      <c r="E42" s="187" t="s">
        <v>34</v>
      </c>
      <c r="F42" s="185" t="s">
        <v>175</v>
      </c>
      <c r="G42" s="186" t="s">
        <v>176</v>
      </c>
      <c r="H42" s="187" t="s">
        <v>34</v>
      </c>
      <c r="I42" s="185" t="s">
        <v>175</v>
      </c>
      <c r="J42" s="186" t="s">
        <v>176</v>
      </c>
      <c r="K42" s="187" t="s">
        <v>34</v>
      </c>
      <c r="L42" s="185" t="s">
        <v>175</v>
      </c>
      <c r="M42" s="186" t="s">
        <v>176</v>
      </c>
      <c r="N42" s="187" t="s">
        <v>34</v>
      </c>
      <c r="O42" s="185" t="s">
        <v>175</v>
      </c>
      <c r="P42" s="186" t="s">
        <v>176</v>
      </c>
      <c r="Q42" s="187" t="s">
        <v>34</v>
      </c>
      <c r="R42" s="185" t="s">
        <v>175</v>
      </c>
      <c r="S42" s="186" t="s">
        <v>176</v>
      </c>
      <c r="T42" s="187" t="s">
        <v>34</v>
      </c>
      <c r="V42" s="185" t="s">
        <v>175</v>
      </c>
      <c r="W42" s="186" t="s">
        <v>176</v>
      </c>
    </row>
    <row r="43" spans="1:23">
      <c r="A43" s="519" t="s">
        <v>1</v>
      </c>
      <c r="B43" s="317" t="s">
        <v>173</v>
      </c>
      <c r="C43" s="189">
        <v>41800</v>
      </c>
      <c r="D43" s="189">
        <f>SUM(C10,C24,C35)</f>
        <v>36495</v>
      </c>
      <c r="E43" s="191">
        <f>D43/C43</f>
        <v>0.87308612440191391</v>
      </c>
      <c r="F43" s="189">
        <v>41800</v>
      </c>
      <c r="G43" s="189">
        <f>SUM(F10,F24,F35)</f>
        <v>24337</v>
      </c>
      <c r="H43" s="191">
        <f>G43/F43</f>
        <v>0.58222488038277509</v>
      </c>
      <c r="I43" s="189">
        <v>41800</v>
      </c>
      <c r="J43" s="189">
        <f>SUM(I10,I24,I35)</f>
        <v>33214</v>
      </c>
      <c r="K43" s="191">
        <f>J43/I43</f>
        <v>0.79459330143540674</v>
      </c>
      <c r="L43" s="189">
        <v>41800</v>
      </c>
      <c r="M43" s="189">
        <f>SUM(L35,L24,L10)</f>
        <v>33212</v>
      </c>
      <c r="N43" s="191">
        <f>M43/L43</f>
        <v>0.79454545454545455</v>
      </c>
      <c r="O43" s="189">
        <v>41800</v>
      </c>
      <c r="P43" s="189">
        <f>SUM(O35,O24,O10)</f>
        <v>37756</v>
      </c>
      <c r="Q43" s="191">
        <f>P43/O43</f>
        <v>0.90325358851674642</v>
      </c>
      <c r="R43" s="189">
        <v>41800</v>
      </c>
      <c r="S43" s="189">
        <f>SUM(R35,R24,R10)</f>
        <v>0</v>
      </c>
      <c r="T43" s="191">
        <f>S43/R43</f>
        <v>0</v>
      </c>
      <c r="V43" s="190">
        <f>SUM(C43,F43,I43,L43,O43,R43)</f>
        <v>250800</v>
      </c>
      <c r="W43" s="190">
        <f>SUM(D43,G43,J43,M43,P43,S43)</f>
        <v>165014</v>
      </c>
    </row>
    <row r="44" spans="1:23">
      <c r="A44" s="521"/>
      <c r="B44" s="317" t="s">
        <v>187</v>
      </c>
      <c r="C44" s="189">
        <v>390</v>
      </c>
      <c r="D44" s="189">
        <f>SUM(C17,C39,C30)</f>
        <v>452</v>
      </c>
      <c r="E44" s="191">
        <f>D44/C44</f>
        <v>1.1589743589743591</v>
      </c>
      <c r="F44" s="189">
        <v>390</v>
      </c>
      <c r="G44" s="189">
        <f>SUM(F17,F39,F30)</f>
        <v>371</v>
      </c>
      <c r="H44" s="191">
        <f>G44/F44</f>
        <v>0.95128205128205123</v>
      </c>
      <c r="I44" s="189">
        <v>390</v>
      </c>
      <c r="J44" s="189">
        <f>SUM(I17,I39,I30)</f>
        <v>439</v>
      </c>
      <c r="K44" s="191">
        <f>J44/I44</f>
        <v>1.1256410256410256</v>
      </c>
      <c r="L44" s="189">
        <v>390</v>
      </c>
      <c r="M44" s="189">
        <f>SUM(L17,L39,L30)</f>
        <v>442</v>
      </c>
      <c r="N44" s="191">
        <f>M44/L44</f>
        <v>1.1333333333333333</v>
      </c>
      <c r="O44" s="189">
        <v>390</v>
      </c>
      <c r="P44" s="189">
        <f>SUM(O17,O39,O30)</f>
        <v>499</v>
      </c>
      <c r="Q44" s="191">
        <f>P44/O44</f>
        <v>1.2794871794871794</v>
      </c>
      <c r="R44" s="189">
        <v>390</v>
      </c>
      <c r="S44" s="189">
        <f>SUM(R17,R39,R30)</f>
        <v>0</v>
      </c>
      <c r="T44" s="191">
        <f>S44/R44</f>
        <v>0</v>
      </c>
      <c r="V44" s="190">
        <f>SUM(C44,F44,I44,L44,O44,R44)</f>
        <v>2340</v>
      </c>
      <c r="W44" s="190">
        <f>SUM(D44,G44,J44,M44,P44,S44)</f>
        <v>2203</v>
      </c>
    </row>
    <row r="45" spans="1:23" s="193" customFormat="1" ht="11.55" thickBot="1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</row>
    <row r="46" spans="1:23" ht="14.3" thickBot="1">
      <c r="A46" s="512" t="s">
        <v>1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>
        <v>2022</v>
      </c>
      <c r="W46" s="498"/>
    </row>
    <row r="47" spans="1:23" ht="14.95" customHeight="1">
      <c r="A47" s="530" t="s">
        <v>265</v>
      </c>
      <c r="B47" s="530"/>
      <c r="C47" s="530"/>
      <c r="D47" s="530"/>
      <c r="E47" s="530"/>
      <c r="F47" s="530"/>
      <c r="G47" s="530"/>
      <c r="H47" s="530"/>
      <c r="I47" s="530"/>
      <c r="J47" s="530"/>
      <c r="K47" s="531"/>
      <c r="L47" s="528" t="s">
        <v>266</v>
      </c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</row>
    <row r="48" spans="1:23">
      <c r="A48" s="519" t="s">
        <v>18</v>
      </c>
      <c r="B48" s="505" t="s">
        <v>172</v>
      </c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7"/>
    </row>
    <row r="49" spans="1:23">
      <c r="A49" s="520"/>
      <c r="B49" s="317" t="s">
        <v>173</v>
      </c>
      <c r="C49" s="483" t="s">
        <v>55</v>
      </c>
      <c r="D49" s="493"/>
      <c r="E49" s="484"/>
      <c r="F49" s="483" t="s">
        <v>56</v>
      </c>
      <c r="G49" s="493"/>
      <c r="H49" s="484"/>
      <c r="I49" s="483" t="s">
        <v>57</v>
      </c>
      <c r="J49" s="493"/>
      <c r="K49" s="484"/>
      <c r="L49" s="483" t="s">
        <v>58</v>
      </c>
      <c r="M49" s="493"/>
      <c r="N49" s="484"/>
      <c r="O49" s="483" t="s">
        <v>59</v>
      </c>
      <c r="P49" s="493"/>
      <c r="Q49" s="484"/>
      <c r="R49" s="483" t="s">
        <v>60</v>
      </c>
      <c r="S49" s="493"/>
      <c r="T49" s="484"/>
      <c r="V49" s="483" t="s">
        <v>174</v>
      </c>
      <c r="W49" s="484"/>
    </row>
    <row r="50" spans="1:23" ht="14.95" customHeight="1">
      <c r="A50" s="520"/>
      <c r="B50" s="188" t="s">
        <v>35</v>
      </c>
      <c r="C50" s="490">
        <v>0</v>
      </c>
      <c r="D50" s="491"/>
      <c r="E50" s="492"/>
      <c r="F50" s="490">
        <v>0</v>
      </c>
      <c r="G50" s="491"/>
      <c r="H50" s="492"/>
      <c r="I50" s="494">
        <v>0</v>
      </c>
      <c r="J50" s="495"/>
      <c r="K50" s="496"/>
      <c r="L50" s="494">
        <v>0</v>
      </c>
      <c r="M50" s="495"/>
      <c r="N50" s="496"/>
      <c r="O50" s="494">
        <v>0</v>
      </c>
      <c r="P50" s="495"/>
      <c r="Q50" s="496"/>
      <c r="R50" s="494">
        <v>0</v>
      </c>
      <c r="S50" s="495"/>
      <c r="T50" s="496"/>
      <c r="V50" s="490">
        <f>SUM(C50,F50,I50,L50,O50,R50)</f>
        <v>0</v>
      </c>
      <c r="W50" s="492"/>
    </row>
    <row r="51" spans="1:23" ht="14.95" customHeight="1">
      <c r="A51" s="520"/>
      <c r="B51" s="188" t="s">
        <v>36</v>
      </c>
      <c r="C51" s="490">
        <v>0</v>
      </c>
      <c r="D51" s="491"/>
      <c r="E51" s="492"/>
      <c r="F51" s="490">
        <v>0</v>
      </c>
      <c r="G51" s="491"/>
      <c r="H51" s="492"/>
      <c r="I51" s="494">
        <v>0</v>
      </c>
      <c r="J51" s="495"/>
      <c r="K51" s="496"/>
      <c r="L51" s="494">
        <v>0</v>
      </c>
      <c r="M51" s="495"/>
      <c r="N51" s="496"/>
      <c r="O51" s="494">
        <v>0</v>
      </c>
      <c r="P51" s="495"/>
      <c r="Q51" s="496"/>
      <c r="R51" s="494">
        <v>0</v>
      </c>
      <c r="S51" s="495"/>
      <c r="T51" s="496"/>
      <c r="V51" s="490">
        <f>SUM(C51,F51,I51,L51,O51,R51)</f>
        <v>0</v>
      </c>
      <c r="W51" s="492"/>
    </row>
    <row r="52" spans="1:23" ht="14.95" customHeight="1">
      <c r="A52" s="520"/>
      <c r="B52" s="188" t="s">
        <v>179</v>
      </c>
      <c r="C52" s="490">
        <v>0</v>
      </c>
      <c r="D52" s="491"/>
      <c r="E52" s="492"/>
      <c r="F52" s="490">
        <v>0</v>
      </c>
      <c r="G52" s="491"/>
      <c r="H52" s="492"/>
      <c r="I52" s="494">
        <v>0</v>
      </c>
      <c r="J52" s="495"/>
      <c r="K52" s="496"/>
      <c r="L52" s="494">
        <v>0</v>
      </c>
      <c r="M52" s="495"/>
      <c r="N52" s="496"/>
      <c r="O52" s="494">
        <v>0</v>
      </c>
      <c r="P52" s="495"/>
      <c r="Q52" s="496"/>
      <c r="R52" s="494">
        <v>0</v>
      </c>
      <c r="S52" s="495"/>
      <c r="T52" s="496"/>
      <c r="V52" s="490">
        <f>SUM(C52,F52,I52,L52,O52,R52)</f>
        <v>0</v>
      </c>
      <c r="W52" s="492"/>
    </row>
    <row r="53" spans="1:23" ht="14.95" customHeight="1">
      <c r="A53" s="520"/>
      <c r="B53" s="319" t="s">
        <v>37</v>
      </c>
      <c r="C53" s="485">
        <f>SUM(C50:E52)</f>
        <v>0</v>
      </c>
      <c r="D53" s="486"/>
      <c r="E53" s="487"/>
      <c r="F53" s="485">
        <f>SUM(F50:H52)</f>
        <v>0</v>
      </c>
      <c r="G53" s="486"/>
      <c r="H53" s="487"/>
      <c r="I53" s="485">
        <f>SUM(I50:K52)</f>
        <v>0</v>
      </c>
      <c r="J53" s="486"/>
      <c r="K53" s="487"/>
      <c r="L53" s="485">
        <f>SUM(L50:N52)</f>
        <v>0</v>
      </c>
      <c r="M53" s="486"/>
      <c r="N53" s="487"/>
      <c r="O53" s="485">
        <f>SUM(O50:Q52)</f>
        <v>0</v>
      </c>
      <c r="P53" s="486"/>
      <c r="Q53" s="487"/>
      <c r="R53" s="485">
        <f>SUM(R50:T52)</f>
        <v>0</v>
      </c>
      <c r="S53" s="486"/>
      <c r="T53" s="487"/>
      <c r="V53" s="488">
        <f>SUM(V50:W52)</f>
        <v>0</v>
      </c>
      <c r="W53" s="489"/>
    </row>
    <row r="54" spans="1:23" ht="14.3">
      <c r="A54" s="520"/>
      <c r="B54" s="505" t="s">
        <v>178</v>
      </c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7"/>
      <c r="V54" s="17"/>
      <c r="W54" s="17"/>
    </row>
    <row r="55" spans="1:23">
      <c r="A55" s="520"/>
      <c r="B55" s="317" t="s">
        <v>187</v>
      </c>
      <c r="C55" s="483" t="s">
        <v>55</v>
      </c>
      <c r="D55" s="493"/>
      <c r="E55" s="484"/>
      <c r="F55" s="483" t="s">
        <v>56</v>
      </c>
      <c r="G55" s="493"/>
      <c r="H55" s="484"/>
      <c r="I55" s="483" t="s">
        <v>57</v>
      </c>
      <c r="J55" s="493"/>
      <c r="K55" s="484"/>
      <c r="L55" s="483" t="s">
        <v>58</v>
      </c>
      <c r="M55" s="493"/>
      <c r="N55" s="484"/>
      <c r="O55" s="483" t="s">
        <v>59</v>
      </c>
      <c r="P55" s="493"/>
      <c r="Q55" s="484"/>
      <c r="R55" s="483" t="s">
        <v>60</v>
      </c>
      <c r="S55" s="493"/>
      <c r="T55" s="484"/>
      <c r="V55" s="483" t="s">
        <v>174</v>
      </c>
      <c r="W55" s="484"/>
    </row>
    <row r="56" spans="1:23" ht="14.95" customHeight="1">
      <c r="A56" s="520"/>
      <c r="B56" s="188" t="s">
        <v>38</v>
      </c>
      <c r="C56" s="490">
        <v>0</v>
      </c>
      <c r="D56" s="491"/>
      <c r="E56" s="492"/>
      <c r="F56" s="490">
        <v>0</v>
      </c>
      <c r="G56" s="491"/>
      <c r="H56" s="492"/>
      <c r="I56" s="494">
        <v>0</v>
      </c>
      <c r="J56" s="495"/>
      <c r="K56" s="496"/>
      <c r="L56" s="494">
        <v>0</v>
      </c>
      <c r="M56" s="495"/>
      <c r="N56" s="496"/>
      <c r="O56" s="494">
        <v>0</v>
      </c>
      <c r="P56" s="495"/>
      <c r="Q56" s="496"/>
      <c r="R56" s="494">
        <v>0</v>
      </c>
      <c r="S56" s="495"/>
      <c r="T56" s="496"/>
      <c r="V56" s="490">
        <f>SUM(C56,F56,I56,L56,O56,R56)</f>
        <v>0</v>
      </c>
      <c r="W56" s="492"/>
    </row>
    <row r="57" spans="1:23" ht="14.95" customHeight="1">
      <c r="A57" s="520"/>
      <c r="B57" s="188" t="s">
        <v>39</v>
      </c>
      <c r="C57" s="522">
        <v>0</v>
      </c>
      <c r="D57" s="523"/>
      <c r="E57" s="524"/>
      <c r="F57" s="490">
        <v>0</v>
      </c>
      <c r="G57" s="491"/>
      <c r="H57" s="492"/>
      <c r="I57" s="494">
        <v>0</v>
      </c>
      <c r="J57" s="495"/>
      <c r="K57" s="496"/>
      <c r="L57" s="494">
        <v>0</v>
      </c>
      <c r="M57" s="495"/>
      <c r="N57" s="496"/>
      <c r="O57" s="494">
        <v>0</v>
      </c>
      <c r="P57" s="495"/>
      <c r="Q57" s="496"/>
      <c r="R57" s="494">
        <v>0</v>
      </c>
      <c r="S57" s="495"/>
      <c r="T57" s="496"/>
      <c r="V57" s="490">
        <f t="shared" ref="V57:V58" si="6">SUM(C57,F57,I57,L57,O57,R57)</f>
        <v>0</v>
      </c>
      <c r="W57" s="492"/>
    </row>
    <row r="58" spans="1:23" ht="14.95" customHeight="1">
      <c r="A58" s="520"/>
      <c r="B58" s="188" t="s">
        <v>35</v>
      </c>
      <c r="C58" s="490">
        <v>0</v>
      </c>
      <c r="D58" s="491"/>
      <c r="E58" s="492"/>
      <c r="F58" s="490">
        <v>0</v>
      </c>
      <c r="G58" s="491"/>
      <c r="H58" s="492"/>
      <c r="I58" s="494">
        <v>0</v>
      </c>
      <c r="J58" s="495"/>
      <c r="K58" s="496"/>
      <c r="L58" s="494">
        <v>0</v>
      </c>
      <c r="M58" s="495"/>
      <c r="N58" s="496"/>
      <c r="O58" s="494">
        <v>0</v>
      </c>
      <c r="P58" s="495"/>
      <c r="Q58" s="496"/>
      <c r="R58" s="494">
        <v>0</v>
      </c>
      <c r="S58" s="495"/>
      <c r="T58" s="496"/>
      <c r="V58" s="490">
        <f t="shared" si="6"/>
        <v>0</v>
      </c>
      <c r="W58" s="492"/>
    </row>
    <row r="59" spans="1:23">
      <c r="A59" s="521"/>
      <c r="B59" s="319" t="s">
        <v>37</v>
      </c>
      <c r="C59" s="485">
        <f>SUM(C56:E58)</f>
        <v>0</v>
      </c>
      <c r="D59" s="486"/>
      <c r="E59" s="487"/>
      <c r="F59" s="485">
        <f>SUM(F56:H58)</f>
        <v>0</v>
      </c>
      <c r="G59" s="486"/>
      <c r="H59" s="487"/>
      <c r="I59" s="485">
        <f>SUM(I56:K58)</f>
        <v>0</v>
      </c>
      <c r="J59" s="486"/>
      <c r="K59" s="487"/>
      <c r="L59" s="485">
        <f>SUM(L56:N58)</f>
        <v>0</v>
      </c>
      <c r="M59" s="486"/>
      <c r="N59" s="487"/>
      <c r="O59" s="485">
        <f>SUM(O56:Q58)</f>
        <v>0</v>
      </c>
      <c r="P59" s="486"/>
      <c r="Q59" s="487"/>
      <c r="R59" s="485">
        <f>SUM(R56:T58)</f>
        <v>0</v>
      </c>
      <c r="S59" s="486"/>
      <c r="T59" s="487"/>
      <c r="V59" s="488">
        <f>SUM(V56:W58)</f>
        <v>0</v>
      </c>
      <c r="W59" s="489"/>
    </row>
    <row r="60" spans="1:23" ht="14.95" customHeight="1">
      <c r="B60" s="196"/>
      <c r="C60" s="197"/>
      <c r="D60" s="198"/>
      <c r="E60" s="197"/>
      <c r="F60" s="197"/>
      <c r="G60" s="198"/>
      <c r="J60" s="198"/>
      <c r="M60" s="198"/>
      <c r="P60" s="198"/>
      <c r="R60" s="197"/>
      <c r="S60" s="198"/>
      <c r="V60" s="17"/>
      <c r="W60" s="17"/>
    </row>
    <row r="61" spans="1:23">
      <c r="A61" s="510" t="s">
        <v>19</v>
      </c>
      <c r="B61" s="505" t="s">
        <v>172</v>
      </c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7"/>
      <c r="U61" s="194"/>
    </row>
    <row r="62" spans="1:23">
      <c r="A62" s="511"/>
      <c r="B62" s="508" t="s">
        <v>173</v>
      </c>
      <c r="C62" s="483" t="s">
        <v>55</v>
      </c>
      <c r="D62" s="493"/>
      <c r="E62" s="484"/>
      <c r="F62" s="483" t="s">
        <v>56</v>
      </c>
      <c r="G62" s="493"/>
      <c r="H62" s="484"/>
      <c r="I62" s="483" t="s">
        <v>57</v>
      </c>
      <c r="J62" s="493"/>
      <c r="K62" s="484"/>
      <c r="L62" s="483" t="s">
        <v>58</v>
      </c>
      <c r="M62" s="493"/>
      <c r="N62" s="484"/>
      <c r="O62" s="483" t="s">
        <v>59</v>
      </c>
      <c r="P62" s="493"/>
      <c r="Q62" s="484"/>
      <c r="R62" s="483" t="s">
        <v>60</v>
      </c>
      <c r="S62" s="493"/>
      <c r="T62" s="484"/>
      <c r="V62" s="483" t="s">
        <v>174</v>
      </c>
      <c r="W62" s="484"/>
    </row>
    <row r="63" spans="1:23" ht="14.95" customHeight="1">
      <c r="A63" s="511"/>
      <c r="B63" s="509"/>
      <c r="C63" s="499" t="s">
        <v>194</v>
      </c>
      <c r="D63" s="504"/>
      <c r="E63" s="500"/>
      <c r="F63" s="499" t="s">
        <v>194</v>
      </c>
      <c r="G63" s="504"/>
      <c r="H63" s="500"/>
      <c r="I63" s="499" t="s">
        <v>194</v>
      </c>
      <c r="J63" s="504"/>
      <c r="K63" s="500"/>
      <c r="L63" s="499" t="s">
        <v>194</v>
      </c>
      <c r="M63" s="504"/>
      <c r="N63" s="500"/>
      <c r="O63" s="499" t="s">
        <v>194</v>
      </c>
      <c r="P63" s="504"/>
      <c r="Q63" s="500"/>
      <c r="R63" s="499" t="s">
        <v>194</v>
      </c>
      <c r="S63" s="504"/>
      <c r="T63" s="500"/>
      <c r="V63" s="499" t="s">
        <v>194</v>
      </c>
      <c r="W63" s="500"/>
    </row>
    <row r="64" spans="1:23" ht="14.95" customHeight="1">
      <c r="A64" s="511"/>
      <c r="B64" s="188" t="s">
        <v>35</v>
      </c>
      <c r="C64" s="490">
        <v>0</v>
      </c>
      <c r="D64" s="491"/>
      <c r="E64" s="492"/>
      <c r="F64" s="490">
        <v>0</v>
      </c>
      <c r="G64" s="491"/>
      <c r="H64" s="492"/>
      <c r="I64" s="490">
        <v>0</v>
      </c>
      <c r="J64" s="491"/>
      <c r="K64" s="492"/>
      <c r="L64" s="490">
        <v>0</v>
      </c>
      <c r="M64" s="491"/>
      <c r="N64" s="492"/>
      <c r="O64" s="490">
        <v>0</v>
      </c>
      <c r="P64" s="491"/>
      <c r="Q64" s="492"/>
      <c r="R64" s="490">
        <v>0</v>
      </c>
      <c r="S64" s="491"/>
      <c r="T64" s="492"/>
      <c r="V64" s="490">
        <f>SUM(C64,F64,I64,L64,O64,R64)</f>
        <v>0</v>
      </c>
      <c r="W64" s="492"/>
    </row>
    <row r="65" spans="1:23">
      <c r="A65" s="511"/>
      <c r="B65" s="188" t="s">
        <v>40</v>
      </c>
      <c r="C65" s="490">
        <v>0</v>
      </c>
      <c r="D65" s="491"/>
      <c r="E65" s="492"/>
      <c r="F65" s="490">
        <v>0</v>
      </c>
      <c r="G65" s="491"/>
      <c r="H65" s="492"/>
      <c r="I65" s="490">
        <v>0</v>
      </c>
      <c r="J65" s="491"/>
      <c r="K65" s="492"/>
      <c r="L65" s="490">
        <v>0</v>
      </c>
      <c r="M65" s="491"/>
      <c r="N65" s="492"/>
      <c r="O65" s="490">
        <v>0</v>
      </c>
      <c r="P65" s="491"/>
      <c r="Q65" s="492"/>
      <c r="R65" s="490">
        <v>0</v>
      </c>
      <c r="S65" s="491"/>
      <c r="T65" s="492"/>
      <c r="V65" s="490">
        <f>SUM(C65,F65,I65,L65,O65,R65)</f>
        <v>0</v>
      </c>
      <c r="W65" s="492"/>
    </row>
    <row r="66" spans="1:23">
      <c r="A66" s="511"/>
      <c r="B66" s="319" t="s">
        <v>37</v>
      </c>
      <c r="C66" s="485">
        <f>SUM(C64:E65)</f>
        <v>0</v>
      </c>
      <c r="D66" s="486"/>
      <c r="E66" s="487"/>
      <c r="F66" s="485">
        <f>SUM(F64:H65)</f>
        <v>0</v>
      </c>
      <c r="G66" s="486"/>
      <c r="H66" s="487"/>
      <c r="I66" s="485">
        <f>SUM(I64:K65)</f>
        <v>0</v>
      </c>
      <c r="J66" s="486"/>
      <c r="K66" s="487"/>
      <c r="L66" s="485">
        <f>SUM(L64:N65)</f>
        <v>0</v>
      </c>
      <c r="M66" s="486"/>
      <c r="N66" s="487"/>
      <c r="O66" s="485">
        <f>SUM(O64:Q65)</f>
        <v>0</v>
      </c>
      <c r="P66" s="486"/>
      <c r="Q66" s="487"/>
      <c r="R66" s="485">
        <f>SUM(R64:T65)</f>
        <v>0</v>
      </c>
      <c r="S66" s="486"/>
      <c r="T66" s="487"/>
      <c r="V66" s="488">
        <f>SUM(V64:W65)</f>
        <v>0</v>
      </c>
      <c r="W66" s="489"/>
    </row>
    <row r="67" spans="1:23">
      <c r="A67" s="511"/>
      <c r="B67" s="505" t="s">
        <v>178</v>
      </c>
      <c r="C67" s="506"/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7"/>
      <c r="U67" s="313"/>
      <c r="V67" s="313"/>
      <c r="W67" s="313"/>
    </row>
    <row r="68" spans="1:23">
      <c r="A68" s="511"/>
      <c r="B68" s="508" t="s">
        <v>187</v>
      </c>
      <c r="C68" s="483" t="s">
        <v>55</v>
      </c>
      <c r="D68" s="493"/>
      <c r="E68" s="484"/>
      <c r="F68" s="483" t="s">
        <v>56</v>
      </c>
      <c r="G68" s="493"/>
      <c r="H68" s="484"/>
      <c r="I68" s="483" t="s">
        <v>57</v>
      </c>
      <c r="J68" s="493"/>
      <c r="K68" s="484"/>
      <c r="L68" s="483" t="s">
        <v>58</v>
      </c>
      <c r="M68" s="493"/>
      <c r="N68" s="484"/>
      <c r="O68" s="483" t="s">
        <v>59</v>
      </c>
      <c r="P68" s="493"/>
      <c r="Q68" s="484"/>
      <c r="R68" s="483" t="s">
        <v>60</v>
      </c>
      <c r="S68" s="493"/>
      <c r="T68" s="484"/>
      <c r="V68" s="483" t="s">
        <v>174</v>
      </c>
      <c r="W68" s="484"/>
    </row>
    <row r="69" spans="1:23">
      <c r="A69" s="511"/>
      <c r="B69" s="509"/>
      <c r="C69" s="499" t="s">
        <v>194</v>
      </c>
      <c r="D69" s="504"/>
      <c r="E69" s="500"/>
      <c r="F69" s="499" t="s">
        <v>194</v>
      </c>
      <c r="G69" s="504"/>
      <c r="H69" s="500"/>
      <c r="I69" s="499" t="s">
        <v>194</v>
      </c>
      <c r="J69" s="504"/>
      <c r="K69" s="500"/>
      <c r="L69" s="499" t="s">
        <v>194</v>
      </c>
      <c r="M69" s="504"/>
      <c r="N69" s="500"/>
      <c r="O69" s="499" t="s">
        <v>194</v>
      </c>
      <c r="P69" s="504"/>
      <c r="Q69" s="500"/>
      <c r="R69" s="499" t="s">
        <v>194</v>
      </c>
      <c r="S69" s="504"/>
      <c r="T69" s="500"/>
      <c r="V69" s="499" t="s">
        <v>194</v>
      </c>
      <c r="W69" s="500"/>
    </row>
    <row r="70" spans="1:23">
      <c r="A70" s="511"/>
      <c r="B70" s="188" t="s">
        <v>35</v>
      </c>
      <c r="C70" s="501">
        <v>0</v>
      </c>
      <c r="D70" s="502"/>
      <c r="E70" s="503"/>
      <c r="F70" s="501">
        <v>0</v>
      </c>
      <c r="G70" s="502"/>
      <c r="H70" s="503"/>
      <c r="I70" s="501">
        <v>0</v>
      </c>
      <c r="J70" s="502"/>
      <c r="K70" s="503"/>
      <c r="L70" s="501">
        <v>0</v>
      </c>
      <c r="M70" s="502"/>
      <c r="N70" s="503"/>
      <c r="O70" s="490">
        <v>0</v>
      </c>
      <c r="P70" s="491"/>
      <c r="Q70" s="492"/>
      <c r="R70" s="490">
        <v>0</v>
      </c>
      <c r="S70" s="491"/>
      <c r="T70" s="492"/>
      <c r="V70" s="490">
        <f>SUM(C70,F70,I70,L70,O70,R70)</f>
        <v>0</v>
      </c>
      <c r="W70" s="492"/>
    </row>
    <row r="71" spans="1:23">
      <c r="A71" s="511"/>
      <c r="B71" s="188" t="s">
        <v>40</v>
      </c>
      <c r="C71" s="501">
        <v>0</v>
      </c>
      <c r="D71" s="502"/>
      <c r="E71" s="503"/>
      <c r="F71" s="501">
        <v>0</v>
      </c>
      <c r="G71" s="502"/>
      <c r="H71" s="503"/>
      <c r="I71" s="501">
        <v>0</v>
      </c>
      <c r="J71" s="502"/>
      <c r="K71" s="503"/>
      <c r="L71" s="501">
        <v>0</v>
      </c>
      <c r="M71" s="502"/>
      <c r="N71" s="503"/>
      <c r="O71" s="490">
        <v>0</v>
      </c>
      <c r="P71" s="491"/>
      <c r="Q71" s="492"/>
      <c r="R71" s="490">
        <v>0</v>
      </c>
      <c r="S71" s="491"/>
      <c r="T71" s="492"/>
      <c r="V71" s="490">
        <f>SUM(C71,F71,I71,L71,O71,R71)</f>
        <v>0</v>
      </c>
      <c r="W71" s="492"/>
    </row>
    <row r="72" spans="1:23">
      <c r="A72" s="511"/>
      <c r="B72" s="319" t="s">
        <v>37</v>
      </c>
      <c r="C72" s="485">
        <f>SUM(C70:E71)</f>
        <v>0</v>
      </c>
      <c r="D72" s="486"/>
      <c r="E72" s="487"/>
      <c r="F72" s="485">
        <f>SUM(F70:H71)</f>
        <v>0</v>
      </c>
      <c r="G72" s="486"/>
      <c r="H72" s="487"/>
      <c r="I72" s="485">
        <f>SUM(I70:K71)</f>
        <v>0</v>
      </c>
      <c r="J72" s="486"/>
      <c r="K72" s="487"/>
      <c r="L72" s="485">
        <f>SUM(L70:N71)</f>
        <v>0</v>
      </c>
      <c r="M72" s="486"/>
      <c r="N72" s="487"/>
      <c r="O72" s="485">
        <f>SUM(O70:Q71)</f>
        <v>0</v>
      </c>
      <c r="P72" s="486"/>
      <c r="Q72" s="487"/>
      <c r="R72" s="485">
        <f>SUM(R70:T71)</f>
        <v>0</v>
      </c>
      <c r="S72" s="486"/>
      <c r="T72" s="487"/>
      <c r="V72" s="488">
        <f>SUM(V70:W71)</f>
        <v>0</v>
      </c>
      <c r="W72" s="489"/>
    </row>
    <row r="73" spans="1:23" ht="14.95" customHeight="1">
      <c r="A73" s="193"/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5"/>
      <c r="U73" s="192"/>
      <c r="V73" s="17"/>
      <c r="W73" s="17"/>
    </row>
    <row r="74" spans="1:23">
      <c r="A74" s="513" t="s">
        <v>20</v>
      </c>
      <c r="B74" s="505" t="s">
        <v>172</v>
      </c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7"/>
    </row>
    <row r="75" spans="1:23">
      <c r="A75" s="514"/>
      <c r="B75" s="318" t="s">
        <v>173</v>
      </c>
      <c r="C75" s="483" t="s">
        <v>55</v>
      </c>
      <c r="D75" s="493"/>
      <c r="E75" s="484"/>
      <c r="F75" s="483" t="s">
        <v>56</v>
      </c>
      <c r="G75" s="493"/>
      <c r="H75" s="484"/>
      <c r="I75" s="483" t="s">
        <v>57</v>
      </c>
      <c r="J75" s="493"/>
      <c r="K75" s="484"/>
      <c r="L75" s="483" t="s">
        <v>58</v>
      </c>
      <c r="M75" s="493"/>
      <c r="N75" s="484"/>
      <c r="O75" s="483" t="s">
        <v>59</v>
      </c>
      <c r="P75" s="493"/>
      <c r="Q75" s="484"/>
      <c r="R75" s="483" t="s">
        <v>60</v>
      </c>
      <c r="S75" s="493"/>
      <c r="T75" s="484"/>
      <c r="V75" s="483" t="s">
        <v>174</v>
      </c>
      <c r="W75" s="484"/>
    </row>
    <row r="76" spans="1:23" ht="14.95" customHeight="1">
      <c r="A76" s="514"/>
      <c r="B76" s="188" t="s">
        <v>40</v>
      </c>
      <c r="C76" s="516">
        <v>0</v>
      </c>
      <c r="D76" s="491"/>
      <c r="E76" s="517"/>
      <c r="F76" s="516">
        <v>0</v>
      </c>
      <c r="G76" s="491"/>
      <c r="H76" s="517"/>
      <c r="I76" s="516">
        <v>0</v>
      </c>
      <c r="J76" s="491"/>
      <c r="K76" s="517"/>
      <c r="L76" s="518">
        <v>0</v>
      </c>
      <c r="M76" s="495"/>
      <c r="N76" s="496"/>
      <c r="O76" s="494">
        <v>0</v>
      </c>
      <c r="P76" s="495"/>
      <c r="Q76" s="496"/>
      <c r="R76" s="494">
        <v>0</v>
      </c>
      <c r="S76" s="495"/>
      <c r="T76" s="496"/>
      <c r="V76" s="490">
        <f>SUM(C76,F76,I76,L76,O76,R76)</f>
        <v>0</v>
      </c>
      <c r="W76" s="492"/>
    </row>
    <row r="77" spans="1:23" ht="14.3">
      <c r="A77" s="514"/>
      <c r="B77" s="505" t="s">
        <v>178</v>
      </c>
      <c r="C77" s="506"/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  <c r="R77" s="506"/>
      <c r="S77" s="506"/>
      <c r="T77" s="507"/>
      <c r="V77" s="17"/>
      <c r="W77" s="17"/>
    </row>
    <row r="78" spans="1:23">
      <c r="A78" s="514"/>
      <c r="B78" s="317" t="s">
        <v>187</v>
      </c>
      <c r="C78" s="483" t="s">
        <v>55</v>
      </c>
      <c r="D78" s="493"/>
      <c r="E78" s="484"/>
      <c r="F78" s="483" t="s">
        <v>56</v>
      </c>
      <c r="G78" s="493"/>
      <c r="H78" s="484"/>
      <c r="I78" s="483" t="s">
        <v>57</v>
      </c>
      <c r="J78" s="493"/>
      <c r="K78" s="484"/>
      <c r="L78" s="483" t="s">
        <v>58</v>
      </c>
      <c r="M78" s="493"/>
      <c r="N78" s="484"/>
      <c r="O78" s="483" t="s">
        <v>59</v>
      </c>
      <c r="P78" s="493"/>
      <c r="Q78" s="484"/>
      <c r="R78" s="483" t="s">
        <v>60</v>
      </c>
      <c r="S78" s="493"/>
      <c r="T78" s="484"/>
      <c r="V78" s="483" t="s">
        <v>174</v>
      </c>
      <c r="W78" s="484"/>
    </row>
    <row r="79" spans="1:23" ht="14.95" customHeight="1">
      <c r="A79" s="515"/>
      <c r="B79" s="188" t="s">
        <v>40</v>
      </c>
      <c r="C79" s="490">
        <v>0</v>
      </c>
      <c r="D79" s="491"/>
      <c r="E79" s="492"/>
      <c r="F79" s="490">
        <v>0</v>
      </c>
      <c r="G79" s="491"/>
      <c r="H79" s="492"/>
      <c r="I79" s="494">
        <v>0</v>
      </c>
      <c r="J79" s="495"/>
      <c r="K79" s="496"/>
      <c r="L79" s="494">
        <v>0</v>
      </c>
      <c r="M79" s="495"/>
      <c r="N79" s="496"/>
      <c r="O79" s="494">
        <v>0</v>
      </c>
      <c r="P79" s="495"/>
      <c r="Q79" s="496"/>
      <c r="R79" s="494">
        <v>0</v>
      </c>
      <c r="S79" s="495"/>
      <c r="T79" s="496"/>
      <c r="V79" s="490">
        <f>SUM(C79,F79,I79,L79,O79,R79)</f>
        <v>0</v>
      </c>
      <c r="W79" s="492"/>
    </row>
    <row r="80" spans="1:23" ht="14.3">
      <c r="A80" s="199"/>
      <c r="V80" s="17"/>
      <c r="W80" s="17"/>
    </row>
    <row r="81" spans="1:23">
      <c r="B81" s="309"/>
      <c r="C81" s="483" t="s">
        <v>55</v>
      </c>
      <c r="D81" s="493"/>
      <c r="E81" s="484"/>
      <c r="F81" s="483" t="s">
        <v>56</v>
      </c>
      <c r="G81" s="493"/>
      <c r="H81" s="484"/>
      <c r="I81" s="483" t="s">
        <v>57</v>
      </c>
      <c r="J81" s="493"/>
      <c r="K81" s="484"/>
      <c r="L81" s="483" t="s">
        <v>58</v>
      </c>
      <c r="M81" s="493"/>
      <c r="N81" s="484"/>
      <c r="O81" s="483" t="s">
        <v>59</v>
      </c>
      <c r="P81" s="493"/>
      <c r="Q81" s="484"/>
      <c r="R81" s="483" t="s">
        <v>60</v>
      </c>
      <c r="S81" s="493"/>
      <c r="T81" s="484"/>
      <c r="V81" s="483" t="s">
        <v>174</v>
      </c>
      <c r="W81" s="484" t="s">
        <v>174</v>
      </c>
    </row>
    <row r="82" spans="1:23">
      <c r="B82" s="309"/>
      <c r="C82" s="185" t="s">
        <v>175</v>
      </c>
      <c r="D82" s="186" t="s">
        <v>176</v>
      </c>
      <c r="E82" s="187" t="s">
        <v>34</v>
      </c>
      <c r="F82" s="185" t="s">
        <v>175</v>
      </c>
      <c r="G82" s="186" t="s">
        <v>176</v>
      </c>
      <c r="H82" s="187" t="s">
        <v>34</v>
      </c>
      <c r="I82" s="185" t="s">
        <v>175</v>
      </c>
      <c r="J82" s="186" t="s">
        <v>176</v>
      </c>
      <c r="K82" s="187" t="s">
        <v>34</v>
      </c>
      <c r="L82" s="185" t="s">
        <v>175</v>
      </c>
      <c r="M82" s="186" t="s">
        <v>176</v>
      </c>
      <c r="N82" s="187" t="s">
        <v>34</v>
      </c>
      <c r="O82" s="185" t="s">
        <v>175</v>
      </c>
      <c r="P82" s="186" t="s">
        <v>176</v>
      </c>
      <c r="Q82" s="187" t="s">
        <v>34</v>
      </c>
      <c r="R82" s="185" t="s">
        <v>175</v>
      </c>
      <c r="S82" s="186" t="s">
        <v>176</v>
      </c>
      <c r="T82" s="187" t="s">
        <v>34</v>
      </c>
      <c r="V82" s="185" t="s">
        <v>175</v>
      </c>
      <c r="W82" s="186" t="s">
        <v>176</v>
      </c>
    </row>
    <row r="83" spans="1:23">
      <c r="A83" s="519" t="s">
        <v>1</v>
      </c>
      <c r="B83" s="318" t="s">
        <v>173</v>
      </c>
      <c r="C83" s="189">
        <v>41800</v>
      </c>
      <c r="D83" s="189">
        <f>SUM(C53,C66,C76)</f>
        <v>0</v>
      </c>
      <c r="E83" s="191">
        <f>D83/C83</f>
        <v>0</v>
      </c>
      <c r="F83" s="189">
        <v>41800</v>
      </c>
      <c r="G83" s="189">
        <f>SUM(F53,F66,F76)</f>
        <v>0</v>
      </c>
      <c r="H83" s="191">
        <f>G83/F83</f>
        <v>0</v>
      </c>
      <c r="I83" s="189">
        <v>41800</v>
      </c>
      <c r="J83" s="189">
        <f>SUM(I53,I66,I76)</f>
        <v>0</v>
      </c>
      <c r="K83" s="191">
        <f>J83/I83</f>
        <v>0</v>
      </c>
      <c r="L83" s="189">
        <v>41800</v>
      </c>
      <c r="M83" s="189">
        <f>SUM(L53,L66,L76)</f>
        <v>0</v>
      </c>
      <c r="N83" s="191">
        <f>M83/L83</f>
        <v>0</v>
      </c>
      <c r="O83" s="189">
        <v>41800</v>
      </c>
      <c r="P83" s="189">
        <f>SUM(O53,O66,O76)</f>
        <v>0</v>
      </c>
      <c r="Q83" s="191">
        <f>P83/O83</f>
        <v>0</v>
      </c>
      <c r="R83" s="189">
        <v>41800</v>
      </c>
      <c r="S83" s="189">
        <f>SUM(R53,R66,R76)</f>
        <v>0</v>
      </c>
      <c r="T83" s="191">
        <f>SUM(S83/R83)</f>
        <v>0</v>
      </c>
      <c r="V83" s="190">
        <f>SUM(C83,F83,I83,L83,O83,R83)</f>
        <v>250800</v>
      </c>
      <c r="W83" s="190">
        <f>SUM(D83,G83,J83,M83,P83,S83)</f>
        <v>0</v>
      </c>
    </row>
    <row r="84" spans="1:23">
      <c r="A84" s="521"/>
      <c r="B84" s="317" t="s">
        <v>187</v>
      </c>
      <c r="C84" s="189">
        <v>390</v>
      </c>
      <c r="D84" s="189">
        <f>SUM(C79,C59,C72)</f>
        <v>0</v>
      </c>
      <c r="E84" s="191">
        <f>D84/C84</f>
        <v>0</v>
      </c>
      <c r="F84" s="189">
        <v>390</v>
      </c>
      <c r="G84" s="189">
        <f>SUM(F79,F59,F72)</f>
        <v>0</v>
      </c>
      <c r="H84" s="191">
        <f>G84/F84</f>
        <v>0</v>
      </c>
      <c r="I84" s="189">
        <v>390</v>
      </c>
      <c r="J84" s="189">
        <f>SUM(I59,I79,I72)</f>
        <v>0</v>
      </c>
      <c r="K84" s="191">
        <f>J84/I84</f>
        <v>0</v>
      </c>
      <c r="L84" s="189">
        <v>390</v>
      </c>
      <c r="M84" s="189">
        <f>SUM(L59,L79,L72)</f>
        <v>0</v>
      </c>
      <c r="N84" s="191">
        <f>M84/L84</f>
        <v>0</v>
      </c>
      <c r="O84" s="189">
        <v>390</v>
      </c>
      <c r="P84" s="189">
        <f>SUM(O59,O79,O72)</f>
        <v>0</v>
      </c>
      <c r="Q84" s="191">
        <f>P84/O84</f>
        <v>0</v>
      </c>
      <c r="R84" s="189">
        <v>390</v>
      </c>
      <c r="S84" s="189">
        <f>SUM(R59,R79,R72)</f>
        <v>0</v>
      </c>
      <c r="T84" s="191">
        <f>SUM(S84/R84)</f>
        <v>0</v>
      </c>
      <c r="V84" s="190">
        <f>SUM(C84,F84,I84,L84,O84,R84)</f>
        <v>2340</v>
      </c>
      <c r="W84" s="190">
        <f>SUM(D84,G84,J84,M84,P84,S84)</f>
        <v>0</v>
      </c>
    </row>
    <row r="86" spans="1:23">
      <c r="C86" s="200"/>
    </row>
    <row r="87" spans="1:23">
      <c r="V87" s="200"/>
    </row>
    <row r="88" spans="1:23">
      <c r="V88" s="200"/>
    </row>
    <row r="108" spans="2:14">
      <c r="B108" s="250"/>
      <c r="C108" s="251" t="s">
        <v>148</v>
      </c>
      <c r="D108" s="251" t="s">
        <v>130</v>
      </c>
      <c r="E108" s="251" t="s">
        <v>131</v>
      </c>
      <c r="F108" s="251" t="s">
        <v>132</v>
      </c>
      <c r="G108" s="251" t="s">
        <v>133</v>
      </c>
      <c r="H108" s="251" t="s">
        <v>134</v>
      </c>
      <c r="I108" s="251" t="s">
        <v>135</v>
      </c>
      <c r="J108" s="251" t="s">
        <v>136</v>
      </c>
      <c r="K108" s="251" t="s">
        <v>137</v>
      </c>
      <c r="L108" s="251" t="s">
        <v>138</v>
      </c>
      <c r="M108" s="251" t="s">
        <v>139</v>
      </c>
      <c r="N108" s="251" t="s">
        <v>140</v>
      </c>
    </row>
    <row r="109" spans="2:14">
      <c r="B109" s="300" t="s">
        <v>189</v>
      </c>
      <c r="C109" s="252">
        <f>D43</f>
        <v>36495</v>
      </c>
      <c r="D109" s="252">
        <f>G43</f>
        <v>24337</v>
      </c>
      <c r="E109" s="252">
        <f>J43</f>
        <v>33214</v>
      </c>
      <c r="F109" s="252">
        <f>M43</f>
        <v>33212</v>
      </c>
      <c r="G109" s="252">
        <f>P43</f>
        <v>37756</v>
      </c>
      <c r="H109" s="252">
        <f>S43</f>
        <v>0</v>
      </c>
      <c r="I109" s="252">
        <f>D83</f>
        <v>0</v>
      </c>
      <c r="J109" s="252">
        <f>G83</f>
        <v>0</v>
      </c>
      <c r="K109" s="252">
        <f>J83</f>
        <v>0</v>
      </c>
      <c r="L109" s="252">
        <f>M83</f>
        <v>0</v>
      </c>
      <c r="M109" s="252">
        <f>P83</f>
        <v>0</v>
      </c>
      <c r="N109" s="252">
        <f>S83</f>
        <v>0</v>
      </c>
    </row>
    <row r="110" spans="2:14">
      <c r="B110" s="300" t="s">
        <v>188</v>
      </c>
      <c r="C110" s="252">
        <f>D44</f>
        <v>452</v>
      </c>
      <c r="D110" s="252">
        <f>G44</f>
        <v>371</v>
      </c>
      <c r="E110" s="252">
        <f>J44</f>
        <v>439</v>
      </c>
      <c r="F110" s="252">
        <f>M44</f>
        <v>442</v>
      </c>
      <c r="G110" s="252">
        <f>P44</f>
        <v>499</v>
      </c>
      <c r="H110" s="252">
        <f>S44</f>
        <v>0</v>
      </c>
      <c r="I110" s="252">
        <f>D84</f>
        <v>0</v>
      </c>
      <c r="J110" s="252">
        <f>G84</f>
        <v>0</v>
      </c>
      <c r="K110" s="252">
        <f>J84</f>
        <v>0</v>
      </c>
      <c r="L110" s="252">
        <f>M84</f>
        <v>0</v>
      </c>
      <c r="M110" s="252">
        <f>P84</f>
        <v>0</v>
      </c>
      <c r="N110" s="252">
        <f>S84</f>
        <v>0</v>
      </c>
    </row>
  </sheetData>
  <mergeCells count="414">
    <mergeCell ref="L3:W3"/>
    <mergeCell ref="A3:K3"/>
    <mergeCell ref="A47:K47"/>
    <mergeCell ref="L47:W47"/>
    <mergeCell ref="I39:K39"/>
    <mergeCell ref="F39:H39"/>
    <mergeCell ref="C39:E39"/>
    <mergeCell ref="F22:H22"/>
    <mergeCell ref="F23:H23"/>
    <mergeCell ref="F24:H24"/>
    <mergeCell ref="C22:E22"/>
    <mergeCell ref="C23:E23"/>
    <mergeCell ref="C24:E24"/>
    <mergeCell ref="C38:E38"/>
    <mergeCell ref="F38:H38"/>
    <mergeCell ref="I38:K38"/>
    <mergeCell ref="C14:E14"/>
    <mergeCell ref="C15:E15"/>
    <mergeCell ref="C16:E16"/>
    <mergeCell ref="C17:E17"/>
    <mergeCell ref="F14:H14"/>
    <mergeCell ref="F15:H15"/>
    <mergeCell ref="C35:E35"/>
    <mergeCell ref="F35:H35"/>
    <mergeCell ref="I22:K22"/>
    <mergeCell ref="I23:K23"/>
    <mergeCell ref="I24:K24"/>
    <mergeCell ref="C34:E34"/>
    <mergeCell ref="F34:H34"/>
    <mergeCell ref="I34:K34"/>
    <mergeCell ref="C30:E30"/>
    <mergeCell ref="F30:H30"/>
    <mergeCell ref="I30:K30"/>
    <mergeCell ref="F29:H29"/>
    <mergeCell ref="I28:K28"/>
    <mergeCell ref="I29:K29"/>
    <mergeCell ref="B25:T25"/>
    <mergeCell ref="R29:T29"/>
    <mergeCell ref="L30:N30"/>
    <mergeCell ref="O30:Q30"/>
    <mergeCell ref="R30:T30"/>
    <mergeCell ref="I21:K21"/>
    <mergeCell ref="F16:H16"/>
    <mergeCell ref="F17:H17"/>
    <mergeCell ref="C7:E7"/>
    <mergeCell ref="C8:E8"/>
    <mergeCell ref="C9:E9"/>
    <mergeCell ref="C10:E10"/>
    <mergeCell ref="F7:H7"/>
    <mergeCell ref="F8:H8"/>
    <mergeCell ref="F9:H9"/>
    <mergeCell ref="F10:H10"/>
    <mergeCell ref="I7:K7"/>
    <mergeCell ref="I8:K8"/>
    <mergeCell ref="I9:K9"/>
    <mergeCell ref="I10:K10"/>
    <mergeCell ref="I14:K14"/>
    <mergeCell ref="I15:K15"/>
    <mergeCell ref="I16:K16"/>
    <mergeCell ref="I17:K17"/>
    <mergeCell ref="B19:T19"/>
    <mergeCell ref="B20:B21"/>
    <mergeCell ref="C20:E20"/>
    <mergeCell ref="L13:N13"/>
    <mergeCell ref="O13:Q13"/>
    <mergeCell ref="V76:W76"/>
    <mergeCell ref="V79:W79"/>
    <mergeCell ref="V62:W62"/>
    <mergeCell ref="V59:W59"/>
    <mergeCell ref="V78:W78"/>
    <mergeCell ref="V57:W57"/>
    <mergeCell ref="O62:Q62"/>
    <mergeCell ref="R62:T62"/>
    <mergeCell ref="B61:T61"/>
    <mergeCell ref="C62:E62"/>
    <mergeCell ref="F62:H62"/>
    <mergeCell ref="V65:W65"/>
    <mergeCell ref="V58:W58"/>
    <mergeCell ref="R59:T59"/>
    <mergeCell ref="C58:E58"/>
    <mergeCell ref="F58:H58"/>
    <mergeCell ref="O58:Q58"/>
    <mergeCell ref="R58:T58"/>
    <mergeCell ref="I58:K58"/>
    <mergeCell ref="L58:N58"/>
    <mergeCell ref="R65:T65"/>
    <mergeCell ref="V63:W63"/>
    <mergeCell ref="V64:W64"/>
    <mergeCell ref="I62:K62"/>
    <mergeCell ref="A2:U2"/>
    <mergeCell ref="A32:A39"/>
    <mergeCell ref="B32:T32"/>
    <mergeCell ref="F20:H20"/>
    <mergeCell ref="I20:K20"/>
    <mergeCell ref="L20:N20"/>
    <mergeCell ref="O20:Q20"/>
    <mergeCell ref="R20:T20"/>
    <mergeCell ref="L24:N24"/>
    <mergeCell ref="O24:Q24"/>
    <mergeCell ref="R24:T24"/>
    <mergeCell ref="B33:B34"/>
    <mergeCell ref="C33:E33"/>
    <mergeCell ref="F33:H33"/>
    <mergeCell ref="I33:K33"/>
    <mergeCell ref="I35:K35"/>
    <mergeCell ref="C6:E6"/>
    <mergeCell ref="F6:H6"/>
    <mergeCell ref="I6:K6"/>
    <mergeCell ref="C13:E13"/>
    <mergeCell ref="F13:H13"/>
    <mergeCell ref="I13:K13"/>
    <mergeCell ref="C21:E21"/>
    <mergeCell ref="F21:H21"/>
    <mergeCell ref="V2:W2"/>
    <mergeCell ref="A4:A17"/>
    <mergeCell ref="B4:T4"/>
    <mergeCell ref="B5:B6"/>
    <mergeCell ref="C5:E5"/>
    <mergeCell ref="F5:H5"/>
    <mergeCell ref="I5:K5"/>
    <mergeCell ref="L5:N5"/>
    <mergeCell ref="O5:Q5"/>
    <mergeCell ref="R5:T5"/>
    <mergeCell ref="V5:W5"/>
    <mergeCell ref="B11:T11"/>
    <mergeCell ref="B12:B13"/>
    <mergeCell ref="C12:E12"/>
    <mergeCell ref="F12:H12"/>
    <mergeCell ref="I12:K12"/>
    <mergeCell ref="L12:N12"/>
    <mergeCell ref="O12:Q12"/>
    <mergeCell ref="R12:T12"/>
    <mergeCell ref="V12:W12"/>
    <mergeCell ref="L7:N7"/>
    <mergeCell ref="L6:N6"/>
    <mergeCell ref="O6:Q6"/>
    <mergeCell ref="R6:T6"/>
    <mergeCell ref="C59:E59"/>
    <mergeCell ref="F59:H59"/>
    <mergeCell ref="I59:K59"/>
    <mergeCell ref="L59:N59"/>
    <mergeCell ref="O59:Q59"/>
    <mergeCell ref="C50:E50"/>
    <mergeCell ref="C53:E53"/>
    <mergeCell ref="F56:H56"/>
    <mergeCell ref="F57:H57"/>
    <mergeCell ref="I53:K53"/>
    <mergeCell ref="L53:N53"/>
    <mergeCell ref="C56:E56"/>
    <mergeCell ref="C57:E57"/>
    <mergeCell ref="F52:H52"/>
    <mergeCell ref="I50:K50"/>
    <mergeCell ref="I51:K51"/>
    <mergeCell ref="I52:K52"/>
    <mergeCell ref="L50:N50"/>
    <mergeCell ref="L51:N51"/>
    <mergeCell ref="F51:H51"/>
    <mergeCell ref="F50:H50"/>
    <mergeCell ref="C49:E49"/>
    <mergeCell ref="F49:H49"/>
    <mergeCell ref="I49:K49"/>
    <mergeCell ref="L49:N49"/>
    <mergeCell ref="O49:Q49"/>
    <mergeCell ref="R49:T49"/>
    <mergeCell ref="B54:T54"/>
    <mergeCell ref="C55:E55"/>
    <mergeCell ref="F55:H55"/>
    <mergeCell ref="I55:K55"/>
    <mergeCell ref="L55:N55"/>
    <mergeCell ref="O55:Q55"/>
    <mergeCell ref="R55:T55"/>
    <mergeCell ref="O52:Q52"/>
    <mergeCell ref="O53:Q53"/>
    <mergeCell ref="L52:N52"/>
    <mergeCell ref="O50:Q50"/>
    <mergeCell ref="A43:A44"/>
    <mergeCell ref="R72:T72"/>
    <mergeCell ref="F72:H72"/>
    <mergeCell ref="A61:A72"/>
    <mergeCell ref="B62:B63"/>
    <mergeCell ref="A83:A84"/>
    <mergeCell ref="C81:E81"/>
    <mergeCell ref="F81:H81"/>
    <mergeCell ref="I81:K81"/>
    <mergeCell ref="L81:N81"/>
    <mergeCell ref="O81:Q81"/>
    <mergeCell ref="R81:T81"/>
    <mergeCell ref="I63:K63"/>
    <mergeCell ref="I64:K64"/>
    <mergeCell ref="L63:N63"/>
    <mergeCell ref="L64:N64"/>
    <mergeCell ref="O63:Q63"/>
    <mergeCell ref="O64:Q64"/>
    <mergeCell ref="R63:T63"/>
    <mergeCell ref="R64:T64"/>
    <mergeCell ref="C64:E64"/>
    <mergeCell ref="F63:H63"/>
    <mergeCell ref="F64:H64"/>
    <mergeCell ref="C63:E63"/>
    <mergeCell ref="V51:W51"/>
    <mergeCell ref="A74:A79"/>
    <mergeCell ref="B74:T74"/>
    <mergeCell ref="C75:E75"/>
    <mergeCell ref="F75:H75"/>
    <mergeCell ref="O76:Q76"/>
    <mergeCell ref="R76:T76"/>
    <mergeCell ref="R78:T78"/>
    <mergeCell ref="I75:K75"/>
    <mergeCell ref="L75:N75"/>
    <mergeCell ref="O75:Q75"/>
    <mergeCell ref="R75:T75"/>
    <mergeCell ref="C79:E79"/>
    <mergeCell ref="F79:H79"/>
    <mergeCell ref="I76:K76"/>
    <mergeCell ref="I79:K79"/>
    <mergeCell ref="L76:N76"/>
    <mergeCell ref="L79:N79"/>
    <mergeCell ref="O79:Q79"/>
    <mergeCell ref="R79:T79"/>
    <mergeCell ref="C76:E76"/>
    <mergeCell ref="F76:H76"/>
    <mergeCell ref="A48:A59"/>
    <mergeCell ref="B48:T48"/>
    <mergeCell ref="R16:T16"/>
    <mergeCell ref="V81:W81"/>
    <mergeCell ref="V75:W75"/>
    <mergeCell ref="B77:T77"/>
    <mergeCell ref="C78:E78"/>
    <mergeCell ref="F78:H78"/>
    <mergeCell ref="I78:K78"/>
    <mergeCell ref="L78:N78"/>
    <mergeCell ref="O78:Q78"/>
    <mergeCell ref="L39:N39"/>
    <mergeCell ref="O39:Q39"/>
    <mergeCell ref="R39:T39"/>
    <mergeCell ref="A46:U46"/>
    <mergeCell ref="L41:N41"/>
    <mergeCell ref="O41:Q41"/>
    <mergeCell ref="R41:T41"/>
    <mergeCell ref="V39:W39"/>
    <mergeCell ref="L62:N62"/>
    <mergeCell ref="I56:K56"/>
    <mergeCell ref="I57:K57"/>
    <mergeCell ref="L56:N56"/>
    <mergeCell ref="L57:N57"/>
    <mergeCell ref="I41:K41"/>
    <mergeCell ref="V50:W50"/>
    <mergeCell ref="R9:T9"/>
    <mergeCell ref="R8:T8"/>
    <mergeCell ref="R7:T7"/>
    <mergeCell ref="O9:Q9"/>
    <mergeCell ref="O8:Q8"/>
    <mergeCell ref="O7:Q7"/>
    <mergeCell ref="L9:N9"/>
    <mergeCell ref="L8:N8"/>
    <mergeCell ref="R13:T13"/>
    <mergeCell ref="V34:W34"/>
    <mergeCell ref="V21:W21"/>
    <mergeCell ref="V26:W26"/>
    <mergeCell ref="V27:W27"/>
    <mergeCell ref="V28:W28"/>
    <mergeCell ref="V29:W29"/>
    <mergeCell ref="V30:W30"/>
    <mergeCell ref="L10:N10"/>
    <mergeCell ref="O10:Q10"/>
    <mergeCell ref="R10:T10"/>
    <mergeCell ref="L21:N21"/>
    <mergeCell ref="O21:Q21"/>
    <mergeCell ref="R21:T21"/>
    <mergeCell ref="L17:N17"/>
    <mergeCell ref="O17:Q17"/>
    <mergeCell ref="R17:T17"/>
    <mergeCell ref="L16:N16"/>
    <mergeCell ref="L15:N15"/>
    <mergeCell ref="L14:N14"/>
    <mergeCell ref="O16:Q16"/>
    <mergeCell ref="O15:Q15"/>
    <mergeCell ref="O14:Q14"/>
    <mergeCell ref="R14:T14"/>
    <mergeCell ref="R15:T15"/>
    <mergeCell ref="B37:B38"/>
    <mergeCell ref="C41:E41"/>
    <mergeCell ref="F41:H41"/>
    <mergeCell ref="O34:Q34"/>
    <mergeCell ref="R34:T34"/>
    <mergeCell ref="O38:Q38"/>
    <mergeCell ref="R38:T38"/>
    <mergeCell ref="V6:W6"/>
    <mergeCell ref="V35:W35"/>
    <mergeCell ref="V22:W22"/>
    <mergeCell ref="V23:W23"/>
    <mergeCell ref="V13:W13"/>
    <mergeCell ref="V24:W24"/>
    <mergeCell ref="V17:W17"/>
    <mergeCell ref="V14:W14"/>
    <mergeCell ref="V15:W15"/>
    <mergeCell ref="V16:W16"/>
    <mergeCell ref="V8:W8"/>
    <mergeCell ref="V9:W9"/>
    <mergeCell ref="V10:W10"/>
    <mergeCell ref="V33:W33"/>
    <mergeCell ref="V20:W20"/>
    <mergeCell ref="V7:W7"/>
    <mergeCell ref="R28:T28"/>
    <mergeCell ref="L38:N38"/>
    <mergeCell ref="L34:N34"/>
    <mergeCell ref="L37:N37"/>
    <mergeCell ref="L35:N35"/>
    <mergeCell ref="L22:N22"/>
    <mergeCell ref="L23:N23"/>
    <mergeCell ref="O22:Q22"/>
    <mergeCell ref="O23:Q23"/>
    <mergeCell ref="C65:E65"/>
    <mergeCell ref="O37:Q37"/>
    <mergeCell ref="O35:Q35"/>
    <mergeCell ref="B36:T36"/>
    <mergeCell ref="C37:E37"/>
    <mergeCell ref="F37:H37"/>
    <mergeCell ref="I37:K37"/>
    <mergeCell ref="R53:T53"/>
    <mergeCell ref="R50:T50"/>
    <mergeCell ref="R51:T51"/>
    <mergeCell ref="R52:T52"/>
    <mergeCell ref="C52:E52"/>
    <mergeCell ref="C51:E51"/>
    <mergeCell ref="F53:H53"/>
    <mergeCell ref="R23:T23"/>
    <mergeCell ref="R22:T22"/>
    <mergeCell ref="V72:W72"/>
    <mergeCell ref="A19:A30"/>
    <mergeCell ref="B26:B27"/>
    <mergeCell ref="C26:E26"/>
    <mergeCell ref="F26:H26"/>
    <mergeCell ref="I26:K26"/>
    <mergeCell ref="L26:N26"/>
    <mergeCell ref="O26:Q26"/>
    <mergeCell ref="R26:T26"/>
    <mergeCell ref="C27:E27"/>
    <mergeCell ref="F27:H27"/>
    <mergeCell ref="I27:K27"/>
    <mergeCell ref="L27:N27"/>
    <mergeCell ref="O27:Q27"/>
    <mergeCell ref="R27:T27"/>
    <mergeCell ref="C28:E28"/>
    <mergeCell ref="C29:E29"/>
    <mergeCell ref="F28:H28"/>
    <mergeCell ref="I72:K72"/>
    <mergeCell ref="L72:N72"/>
    <mergeCell ref="O72:Q72"/>
    <mergeCell ref="L28:N28"/>
    <mergeCell ref="L29:N29"/>
    <mergeCell ref="C72:E72"/>
    <mergeCell ref="F65:H65"/>
    <mergeCell ref="I65:K65"/>
    <mergeCell ref="L65:N65"/>
    <mergeCell ref="O65:Q65"/>
    <mergeCell ref="C69:E69"/>
    <mergeCell ref="F69:H69"/>
    <mergeCell ref="I69:K69"/>
    <mergeCell ref="L69:N69"/>
    <mergeCell ref="O69:Q69"/>
    <mergeCell ref="B67:T67"/>
    <mergeCell ref="C68:E68"/>
    <mergeCell ref="F68:H68"/>
    <mergeCell ref="I68:K68"/>
    <mergeCell ref="L68:N68"/>
    <mergeCell ref="O68:Q68"/>
    <mergeCell ref="R68:T68"/>
    <mergeCell ref="C66:E66"/>
    <mergeCell ref="F66:H66"/>
    <mergeCell ref="I66:K66"/>
    <mergeCell ref="L66:N66"/>
    <mergeCell ref="O66:Q66"/>
    <mergeCell ref="R69:T69"/>
    <mergeCell ref="B68:B69"/>
    <mergeCell ref="V69:W69"/>
    <mergeCell ref="C71:E71"/>
    <mergeCell ref="F71:H71"/>
    <mergeCell ref="I71:K71"/>
    <mergeCell ref="L71:N71"/>
    <mergeCell ref="O71:Q71"/>
    <mergeCell ref="R71:T71"/>
    <mergeCell ref="V71:W71"/>
    <mergeCell ref="R70:T70"/>
    <mergeCell ref="V70:W70"/>
    <mergeCell ref="I70:K70"/>
    <mergeCell ref="L70:N70"/>
    <mergeCell ref="O70:Q70"/>
    <mergeCell ref="C70:E70"/>
    <mergeCell ref="F70:H70"/>
    <mergeCell ref="V68:W68"/>
    <mergeCell ref="R66:T66"/>
    <mergeCell ref="V66:W66"/>
    <mergeCell ref="O28:Q28"/>
    <mergeCell ref="O29:Q29"/>
    <mergeCell ref="L33:N33"/>
    <mergeCell ref="O33:Q33"/>
    <mergeCell ref="R33:T33"/>
    <mergeCell ref="O56:Q56"/>
    <mergeCell ref="O57:Q57"/>
    <mergeCell ref="R56:T56"/>
    <mergeCell ref="R57:T57"/>
    <mergeCell ref="V41:W41"/>
    <mergeCell ref="V49:W49"/>
    <mergeCell ref="V46:W46"/>
    <mergeCell ref="V37:W37"/>
    <mergeCell ref="R37:T37"/>
    <mergeCell ref="R35:T35"/>
    <mergeCell ref="V38:W38"/>
    <mergeCell ref="V52:W52"/>
    <mergeCell ref="V53:W53"/>
    <mergeCell ref="V56:W56"/>
    <mergeCell ref="V55:W55"/>
    <mergeCell ref="O51:Q51"/>
  </mergeCells>
  <printOptions horizontalCentered="1"/>
  <pageMargins left="0" right="0" top="0.98425196850393704" bottom="0" header="0.19685039370078741" footer="0.31496062992125984"/>
  <pageSetup paperSize="9" scale="72" orientation="landscape" r:id="rId1"/>
  <headerFooter differentOddEven="1">
    <oddHeader>&amp;L&amp;G&amp;C&amp;"-,Negrito"Prontos Socorros Municipais de Taboão da Serra 
SPDM - Associação Paulista para o Desenvolvimento da Medicina&amp;R&amp;G</oddHeader>
    <oddFooter>&amp;R1</oddFooter>
    <evenHeader>&amp;L&amp;G&amp;C&amp;"-,Negrito"Prontos Socorros Municipais de Taboão da Serra 
SPDM - Associação Paulista para o Desenvolvimento da Medicina&amp;R&amp;G</evenHeader>
    <evenFooter>&amp;R2</evenFooter>
  </headerFooter>
  <rowBreaks count="1" manualBreakCount="1">
    <brk id="45" max="22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Z39"/>
  <sheetViews>
    <sheetView view="pageBreakPreview" zoomScale="90" zoomScaleNormal="90" zoomScaleSheetLayoutView="90" zoomScalePageLayoutView="80" workbookViewId="0">
      <selection activeCell="G21" sqref="G21:G22"/>
    </sheetView>
  </sheetViews>
  <sheetFormatPr defaultColWidth="9.125" defaultRowHeight="14.3"/>
  <cols>
    <col min="1" max="1" width="26.625" style="21" bestFit="1" customWidth="1"/>
    <col min="2" max="2" width="19.625" style="21" customWidth="1"/>
    <col min="3" max="3" width="11.75" style="21" customWidth="1"/>
    <col min="4" max="4" width="12.625" style="21" bestFit="1" customWidth="1"/>
    <col min="5" max="5" width="11.375" style="21" customWidth="1"/>
    <col min="6" max="6" width="11.625" style="21" customWidth="1"/>
    <col min="7" max="7" width="13.125" style="21" customWidth="1"/>
    <col min="8" max="8" width="10.625" style="21" customWidth="1"/>
    <col min="9" max="9" width="18.375" style="21" customWidth="1"/>
    <col min="10" max="10" width="6.375" style="21" bestFit="1" customWidth="1"/>
    <col min="11" max="11" width="11" style="21" customWidth="1"/>
    <col min="12" max="12" width="11.625" style="21" bestFit="1" customWidth="1"/>
    <col min="13" max="13" width="13.125" style="21" bestFit="1" customWidth="1"/>
    <col min="14" max="14" width="12.625" style="21" bestFit="1" customWidth="1"/>
    <col min="15" max="15" width="8.25" style="21" customWidth="1"/>
    <col min="16" max="16" width="7.625" style="21" customWidth="1"/>
    <col min="17" max="17" width="4.375" style="21" customWidth="1"/>
    <col min="18" max="18" width="8.25" style="21" customWidth="1"/>
    <col min="19" max="19" width="7.625" style="21" customWidth="1"/>
    <col min="20" max="20" width="4.375" style="21" customWidth="1"/>
    <col min="21" max="21" width="8.25" style="21" customWidth="1"/>
    <col min="22" max="22" width="7.625" style="21" customWidth="1"/>
    <col min="23" max="23" width="4.375" style="21" customWidth="1"/>
    <col min="24" max="25" width="9.125" style="21"/>
    <col min="26" max="26" width="4.75" style="21" bestFit="1" customWidth="1"/>
    <col min="27" max="16384" width="9.125" style="21"/>
  </cols>
  <sheetData>
    <row r="1" spans="1:26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>
        <v>2022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31" customFormat="1" ht="14.95" thickBot="1"/>
    <row r="3" spans="1:26" ht="14.95" thickBot="1">
      <c r="A3" s="534" t="s">
        <v>166</v>
      </c>
      <c r="B3" s="535"/>
      <c r="C3" s="535"/>
      <c r="D3" s="535"/>
      <c r="E3" s="535"/>
      <c r="F3" s="535"/>
      <c r="G3" s="535"/>
      <c r="H3" s="535"/>
      <c r="I3" s="535"/>
      <c r="J3" s="535"/>
      <c r="K3" s="536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6" ht="14.95" thickBot="1">
      <c r="A4" s="20"/>
      <c r="B4" s="23"/>
      <c r="C4" s="23"/>
      <c r="D4" s="23"/>
      <c r="E4" s="23"/>
      <c r="F4" s="23"/>
      <c r="G4" s="23"/>
      <c r="H4" s="23"/>
      <c r="I4" s="546"/>
      <c r="J4" s="546"/>
      <c r="K4" s="546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6">
      <c r="A5" s="68" t="s">
        <v>96</v>
      </c>
      <c r="B5" s="50" t="s">
        <v>97</v>
      </c>
      <c r="C5" s="50" t="s">
        <v>61</v>
      </c>
      <c r="D5" s="50" t="s">
        <v>62</v>
      </c>
      <c r="E5" s="50" t="s">
        <v>63</v>
      </c>
      <c r="F5" s="50" t="s">
        <v>64</v>
      </c>
      <c r="G5" s="50" t="s">
        <v>65</v>
      </c>
      <c r="H5" s="51" t="s">
        <v>66</v>
      </c>
    </row>
    <row r="6" spans="1:26">
      <c r="A6" s="37" t="s">
        <v>68</v>
      </c>
      <c r="B6" s="27" t="s">
        <v>92</v>
      </c>
      <c r="C6" s="28">
        <f>11749+12842</f>
        <v>24591</v>
      </c>
      <c r="D6" s="28">
        <f>9776+3909</f>
        <v>13685</v>
      </c>
      <c r="E6" s="28">
        <f>13096+6179</f>
        <v>19275</v>
      </c>
      <c r="F6" s="28">
        <f>15513+7126</f>
        <v>22639</v>
      </c>
      <c r="G6" s="28">
        <f>12976+9090</f>
        <v>22066</v>
      </c>
      <c r="H6" s="35">
        <v>0</v>
      </c>
      <c r="I6" s="24"/>
      <c r="J6" s="24"/>
      <c r="K6" s="25"/>
    </row>
    <row r="7" spans="1:26">
      <c r="A7" s="37" t="s">
        <v>36</v>
      </c>
      <c r="B7" s="27" t="s">
        <v>18</v>
      </c>
      <c r="C7" s="28">
        <v>2526</v>
      </c>
      <c r="D7" s="28">
        <v>2522</v>
      </c>
      <c r="E7" s="28">
        <v>2634</v>
      </c>
      <c r="F7" s="28">
        <v>2378</v>
      </c>
      <c r="G7" s="28">
        <v>2211</v>
      </c>
      <c r="H7" s="35">
        <v>0</v>
      </c>
      <c r="I7" s="24"/>
      <c r="J7" s="24"/>
      <c r="K7" s="25"/>
    </row>
    <row r="8" spans="1:26">
      <c r="A8" s="37" t="s">
        <v>40</v>
      </c>
      <c r="B8" s="27" t="s">
        <v>93</v>
      </c>
      <c r="C8" s="28">
        <v>7759</v>
      </c>
      <c r="D8" s="28">
        <f>113+6699</f>
        <v>6812</v>
      </c>
      <c r="E8" s="28">
        <f>68+9803</f>
        <v>9871</v>
      </c>
      <c r="F8" s="28">
        <f>1028+9545</f>
        <v>10573</v>
      </c>
      <c r="G8" s="28">
        <f>1834+10522</f>
        <v>12356</v>
      </c>
      <c r="H8" s="35">
        <v>0</v>
      </c>
      <c r="I8" s="24"/>
      <c r="J8" s="24"/>
      <c r="K8" s="25"/>
    </row>
    <row r="9" spans="1:26" ht="14.95" thickBot="1">
      <c r="A9" s="40" t="s">
        <v>94</v>
      </c>
      <c r="B9" s="39" t="s">
        <v>18</v>
      </c>
      <c r="C9" s="97">
        <v>1619</v>
      </c>
      <c r="D9" s="97">
        <v>1318</v>
      </c>
      <c r="E9" s="97">
        <v>1434</v>
      </c>
      <c r="F9" s="97">
        <v>1273</v>
      </c>
      <c r="G9" s="97">
        <v>1123</v>
      </c>
      <c r="H9" s="98">
        <v>0</v>
      </c>
      <c r="M9" s="24"/>
    </row>
    <row r="10" spans="1:26" ht="14.95" thickBot="1">
      <c r="A10" s="547" t="s">
        <v>37</v>
      </c>
      <c r="B10" s="548"/>
      <c r="C10" s="100">
        <f t="shared" ref="C10:H10" si="0">SUM(C6:C9)</f>
        <v>36495</v>
      </c>
      <c r="D10" s="100">
        <f t="shared" si="0"/>
        <v>24337</v>
      </c>
      <c r="E10" s="100">
        <f t="shared" si="0"/>
        <v>33214</v>
      </c>
      <c r="F10" s="100">
        <f t="shared" si="0"/>
        <v>36863</v>
      </c>
      <c r="G10" s="100">
        <f>SUM(G6:G9)</f>
        <v>37756</v>
      </c>
      <c r="H10" s="101">
        <f t="shared" si="0"/>
        <v>0</v>
      </c>
      <c r="M10" s="24"/>
    </row>
    <row r="11" spans="1:26" ht="14.3" customHeight="1" thickBot="1">
      <c r="D11" s="24"/>
      <c r="E11" s="24"/>
      <c r="F11" s="24"/>
      <c r="G11" s="24"/>
      <c r="H11" s="24"/>
      <c r="I11" s="24"/>
      <c r="J11" s="24"/>
      <c r="K11" s="25"/>
      <c r="M11" s="24"/>
    </row>
    <row r="12" spans="1:26" ht="14.95" thickBot="1">
      <c r="A12" s="543" t="s">
        <v>108</v>
      </c>
      <c r="B12" s="544"/>
      <c r="C12" s="544"/>
      <c r="D12" s="545"/>
      <c r="E12" s="17"/>
      <c r="F12" s="17"/>
      <c r="G12" s="17"/>
      <c r="H12" s="17"/>
      <c r="I12" s="17"/>
      <c r="J12" s="17"/>
      <c r="K12" s="17"/>
      <c r="M12" s="24"/>
    </row>
    <row r="13" spans="1:26" ht="14.95" thickBot="1">
      <c r="A13" s="462" t="s">
        <v>149</v>
      </c>
      <c r="B13" s="540" t="s">
        <v>152</v>
      </c>
      <c r="C13" s="541"/>
      <c r="D13" s="464" t="s">
        <v>34</v>
      </c>
      <c r="L13" s="25"/>
    </row>
    <row r="14" spans="1:26" ht="14.95" thickBot="1">
      <c r="A14" s="454">
        <f>'1.cont x real'!V83</f>
        <v>250800</v>
      </c>
      <c r="B14" s="532">
        <f>SUM(C10:H10)</f>
        <v>168665</v>
      </c>
      <c r="C14" s="533"/>
      <c r="D14" s="458">
        <f>B14/A14</f>
        <v>0.67250797448165867</v>
      </c>
    </row>
    <row r="15" spans="1:26" ht="14.9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26" ht="14.95" thickBot="1">
      <c r="A16" s="537" t="s">
        <v>167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9"/>
    </row>
    <row r="17" spans="1:13" ht="14.95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3">
      <c r="A18" s="68" t="s">
        <v>96</v>
      </c>
      <c r="B18" s="50" t="s">
        <v>97</v>
      </c>
      <c r="C18" s="50" t="s">
        <v>61</v>
      </c>
      <c r="D18" s="50" t="s">
        <v>62</v>
      </c>
      <c r="E18" s="50" t="s">
        <v>63</v>
      </c>
      <c r="F18" s="50" t="s">
        <v>64</v>
      </c>
      <c r="G18" s="50" t="s">
        <v>65</v>
      </c>
      <c r="H18" s="51" t="s">
        <v>66</v>
      </c>
    </row>
    <row r="19" spans="1:13">
      <c r="A19" s="36" t="s">
        <v>38</v>
      </c>
      <c r="B19" s="27" t="s">
        <v>98</v>
      </c>
      <c r="C19" s="28">
        <v>62</v>
      </c>
      <c r="D19" s="28">
        <v>69</v>
      </c>
      <c r="E19" s="28">
        <v>71</v>
      </c>
      <c r="F19" s="28">
        <v>86</v>
      </c>
      <c r="G19" s="28">
        <v>61</v>
      </c>
      <c r="H19" s="35">
        <v>0</v>
      </c>
      <c r="J19" s="24"/>
      <c r="K19" s="33"/>
    </row>
    <row r="20" spans="1:13">
      <c r="A20" s="36" t="s">
        <v>155</v>
      </c>
      <c r="B20" s="27" t="s">
        <v>98</v>
      </c>
      <c r="C20" s="28">
        <v>7</v>
      </c>
      <c r="D20" s="28">
        <v>13</v>
      </c>
      <c r="E20" s="28">
        <v>7</v>
      </c>
      <c r="F20" s="28">
        <v>8</v>
      </c>
      <c r="G20" s="28">
        <v>9</v>
      </c>
      <c r="H20" s="35">
        <v>0</v>
      </c>
      <c r="J20" s="24"/>
      <c r="K20" s="33"/>
    </row>
    <row r="21" spans="1:13">
      <c r="A21" s="36" t="s">
        <v>35</v>
      </c>
      <c r="B21" s="27" t="s">
        <v>98</v>
      </c>
      <c r="C21" s="28">
        <v>163</v>
      </c>
      <c r="D21" s="28">
        <v>127</v>
      </c>
      <c r="E21" s="28">
        <v>134</v>
      </c>
      <c r="F21" s="28">
        <v>129</v>
      </c>
      <c r="G21" s="28">
        <v>145</v>
      </c>
      <c r="H21" s="35">
        <v>0</v>
      </c>
      <c r="J21" s="24"/>
      <c r="K21" s="33"/>
    </row>
    <row r="22" spans="1:13">
      <c r="A22" s="353" t="s">
        <v>35</v>
      </c>
      <c r="B22" s="39" t="s">
        <v>19</v>
      </c>
      <c r="C22" s="97">
        <v>128</v>
      </c>
      <c r="D22" s="97">
        <v>70</v>
      </c>
      <c r="E22" s="97">
        <v>78</v>
      </c>
      <c r="F22" s="97">
        <v>66</v>
      </c>
      <c r="G22" s="97">
        <v>104</v>
      </c>
      <c r="H22" s="98">
        <v>0</v>
      </c>
      <c r="J22" s="24"/>
      <c r="K22" s="33"/>
    </row>
    <row r="23" spans="1:13" ht="14.95" thickBot="1">
      <c r="A23" s="38" t="s">
        <v>40</v>
      </c>
      <c r="B23" s="39" t="s">
        <v>268</v>
      </c>
      <c r="C23" s="97">
        <v>92</v>
      </c>
      <c r="D23" s="97">
        <f>58+34</f>
        <v>92</v>
      </c>
      <c r="E23" s="97">
        <f>86+63</f>
        <v>149</v>
      </c>
      <c r="F23" s="97">
        <f>53+100</f>
        <v>153</v>
      </c>
      <c r="G23" s="97">
        <v>150</v>
      </c>
      <c r="H23" s="98">
        <v>0</v>
      </c>
    </row>
    <row r="24" spans="1:13" ht="14.95" thickBot="1">
      <c r="A24" s="547" t="s">
        <v>37</v>
      </c>
      <c r="B24" s="548"/>
      <c r="C24" s="454">
        <f t="shared" ref="C24:H24" si="1">SUM(C19:C23)</f>
        <v>452</v>
      </c>
      <c r="D24" s="456">
        <f t="shared" si="1"/>
        <v>371</v>
      </c>
      <c r="E24" s="454">
        <f t="shared" si="1"/>
        <v>439</v>
      </c>
      <c r="F24" s="456">
        <f t="shared" si="1"/>
        <v>442</v>
      </c>
      <c r="G24" s="454">
        <f>SUM(G19:G23)</f>
        <v>469</v>
      </c>
      <c r="H24" s="457">
        <f t="shared" si="1"/>
        <v>0</v>
      </c>
      <c r="L24" s="32"/>
      <c r="M24" s="299">
        <f>SUM(C24:H24)</f>
        <v>2173</v>
      </c>
    </row>
    <row r="25" spans="1:13" s="10" customFormat="1" ht="15.8" customHeight="1" thickBot="1">
      <c r="C25" s="549"/>
      <c r="D25" s="550"/>
      <c r="E25" s="550"/>
      <c r="F25" s="550"/>
    </row>
    <row r="26" spans="1:13" s="10" customFormat="1" ht="15.8" customHeight="1" thickBot="1">
      <c r="A26" s="543" t="s">
        <v>109</v>
      </c>
      <c r="B26" s="544"/>
      <c r="C26" s="544"/>
      <c r="D26" s="545"/>
      <c r="E26" s="17"/>
      <c r="F26" s="17"/>
      <c r="G26" s="17"/>
      <c r="H26" s="17"/>
      <c r="I26" s="17"/>
      <c r="J26" s="17"/>
      <c r="K26" s="17"/>
    </row>
    <row r="27" spans="1:13" s="10" customFormat="1" ht="14.95" thickBot="1">
      <c r="A27" s="462" t="s">
        <v>150</v>
      </c>
      <c r="B27" s="542" t="s">
        <v>151</v>
      </c>
      <c r="C27" s="542"/>
      <c r="D27" s="460" t="s">
        <v>34</v>
      </c>
      <c r="E27" s="26"/>
      <c r="F27" s="26"/>
      <c r="G27" s="26"/>
      <c r="H27" s="26"/>
      <c r="I27" s="297"/>
      <c r="J27" s="26"/>
      <c r="K27" s="26"/>
      <c r="L27" s="26"/>
      <c r="M27" s="26"/>
    </row>
    <row r="28" spans="1:13" s="10" customFormat="1" ht="14.95" thickBot="1">
      <c r="A28" s="454">
        <f>'1.cont x real'!V84</f>
        <v>2340</v>
      </c>
      <c r="B28" s="532">
        <f>SUM(C24:H24)</f>
        <v>2173</v>
      </c>
      <c r="C28" s="533"/>
      <c r="D28" s="463">
        <f>B28/A28</f>
        <v>0.92863247863247866</v>
      </c>
      <c r="L28" s="26"/>
      <c r="M28" s="26"/>
    </row>
    <row r="29" spans="1:13" s="10" customFormat="1">
      <c r="L29" s="26"/>
      <c r="M29" s="26"/>
    </row>
    <row r="30" spans="1:13" s="10" customFormat="1">
      <c r="L30" s="26"/>
      <c r="M30" s="26"/>
    </row>
    <row r="31" spans="1:13" s="26" customFormat="1"/>
    <row r="32" spans="1:13">
      <c r="A32" s="43"/>
      <c r="B32" s="43"/>
      <c r="C32" s="43"/>
      <c r="D32" s="43"/>
      <c r="E32" s="43"/>
      <c r="F32" s="43"/>
      <c r="G32" s="43"/>
      <c r="H32" s="43"/>
      <c r="I32" s="43"/>
      <c r="J32" s="26"/>
      <c r="K32" s="26"/>
    </row>
    <row r="33" spans="1:9">
      <c r="A33" s="10"/>
      <c r="B33" s="10"/>
      <c r="C33" s="10"/>
      <c r="D33" s="10"/>
      <c r="E33" s="10"/>
      <c r="F33" s="10"/>
      <c r="G33" s="10"/>
      <c r="H33" s="43"/>
      <c r="I33" s="43"/>
    </row>
    <row r="34" spans="1:9">
      <c r="A34" s="10"/>
      <c r="B34" s="22"/>
      <c r="C34" s="22"/>
      <c r="D34" s="22"/>
      <c r="E34" s="22"/>
      <c r="F34" s="22"/>
      <c r="G34" s="22"/>
      <c r="H34" s="43"/>
      <c r="I34" s="43"/>
    </row>
    <row r="35" spans="1:9">
      <c r="H35" s="43"/>
      <c r="I35" s="43"/>
    </row>
    <row r="36" spans="1:9">
      <c r="A36" s="10"/>
      <c r="B36" s="10"/>
      <c r="C36" s="10"/>
      <c r="D36" s="10"/>
      <c r="E36" s="10"/>
      <c r="F36" s="10"/>
      <c r="G36" s="10"/>
      <c r="H36" s="43"/>
    </row>
    <row r="37" spans="1:9">
      <c r="A37" s="10"/>
      <c r="B37" s="10"/>
      <c r="C37" s="10"/>
      <c r="D37" s="10"/>
      <c r="E37" s="10"/>
      <c r="F37" s="10"/>
      <c r="G37" s="10"/>
      <c r="H37" s="43"/>
    </row>
    <row r="38" spans="1:9">
      <c r="A38" s="43"/>
      <c r="B38" s="43"/>
      <c r="C38" s="43"/>
      <c r="D38" s="43"/>
      <c r="E38" s="43"/>
      <c r="F38" s="43"/>
      <c r="G38" s="43"/>
      <c r="H38" s="43"/>
    </row>
    <row r="39" spans="1:9">
      <c r="A39" s="43"/>
      <c r="B39" s="43"/>
      <c r="C39" s="43"/>
      <c r="D39" s="43"/>
      <c r="E39" s="43"/>
      <c r="F39" s="43"/>
      <c r="G39" s="43"/>
      <c r="H39" s="43"/>
    </row>
  </sheetData>
  <customSheetViews>
    <customSheetView guid="{735276B6-8B53-4447-B7C2-CBEDAEBC1390}" scale="85" showPageBreaks="1" printArea="1" view="pageLayout" topLeftCell="A17">
      <selection activeCell="I26" sqref="I26"/>
      <pageMargins left="0.62992125984251968" right="0.74803149606299213" top="1.1417322834645669" bottom="0.74803149606299213" header="0.31496062992125984" footer="0.31496062992125984"/>
      <pageSetup paperSize="9" scale="75" orientation="landscape" horizontalDpi="4294967294" verticalDpi="0" r:id="rId1"/>
      <headerFooter>
        <oddHeader>&amp;L&amp;G&amp;CSPDM - ASSOCIAÇÃO PAULISTA PARA O DESENVOLVIMENTO DA MEDICINA&amp;R&amp;G</oddHeader>
        <oddFooter>&amp;R1</oddFooter>
      </headerFooter>
    </customSheetView>
  </customSheetViews>
  <mergeCells count="12">
    <mergeCell ref="B28:C28"/>
    <mergeCell ref="A3:K3"/>
    <mergeCell ref="A16:K16"/>
    <mergeCell ref="B13:C13"/>
    <mergeCell ref="B14:C14"/>
    <mergeCell ref="B27:C27"/>
    <mergeCell ref="A26:D26"/>
    <mergeCell ref="A12:D12"/>
    <mergeCell ref="I4:K4"/>
    <mergeCell ref="A10:B10"/>
    <mergeCell ref="A24:B24"/>
    <mergeCell ref="C25:F25"/>
  </mergeCells>
  <printOptions horizontalCentered="1" verticalCentered="1"/>
  <pageMargins left="0" right="0" top="0.59055118110236227" bottom="0" header="0" footer="0.31496062992125984"/>
  <pageSetup paperSize="9" scale="85" orientation="landscape" r:id="rId2"/>
  <headerFooter>
    <oddHeader>&amp;L&amp;G&amp;CSPDM - ASSOCIAÇÃO PAULISTA PARA O DESENVOLVIMENTO DA MEDICINA&amp;R&amp;G</oddHeader>
    <oddFooter>&amp;R1</oddFoot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Z42"/>
  <sheetViews>
    <sheetView view="pageBreakPreview" topLeftCell="A28" zoomScaleNormal="100" zoomScaleSheetLayoutView="100" zoomScalePageLayoutView="80" workbookViewId="0">
      <selection activeCell="J21" sqref="J21"/>
    </sheetView>
  </sheetViews>
  <sheetFormatPr defaultColWidth="9.125" defaultRowHeight="14.3"/>
  <cols>
    <col min="1" max="1" width="26.625" style="21" bestFit="1" customWidth="1"/>
    <col min="2" max="2" width="19.625" style="21" customWidth="1"/>
    <col min="3" max="3" width="8.75" style="21" customWidth="1"/>
    <col min="4" max="4" width="12.625" style="21" bestFit="1" customWidth="1"/>
    <col min="5" max="5" width="13.125" style="21" customWidth="1"/>
    <col min="6" max="8" width="12.125" style="21" bestFit="1" customWidth="1"/>
    <col min="9" max="10" width="18.375" style="21" customWidth="1"/>
    <col min="11" max="11" width="11" style="21" customWidth="1"/>
    <col min="12" max="12" width="11.625" style="21" bestFit="1" customWidth="1"/>
    <col min="13" max="13" width="13.125" style="21" bestFit="1" customWidth="1"/>
    <col min="14" max="14" width="12.625" style="21" bestFit="1" customWidth="1"/>
    <col min="15" max="15" width="8.25" style="21" customWidth="1"/>
    <col min="16" max="16" width="7.625" style="21" customWidth="1"/>
    <col min="17" max="17" width="4.375" style="21" customWidth="1"/>
    <col min="18" max="18" width="8.25" style="21" customWidth="1"/>
    <col min="19" max="19" width="7.625" style="21" customWidth="1"/>
    <col min="20" max="20" width="4.375" style="21" customWidth="1"/>
    <col min="21" max="21" width="8.25" style="21" customWidth="1"/>
    <col min="22" max="22" width="7.625" style="21" customWidth="1"/>
    <col min="23" max="23" width="4.375" style="21" customWidth="1"/>
    <col min="24" max="25" width="9.125" style="21"/>
    <col min="26" max="26" width="4.75" style="21" bestFit="1" customWidth="1"/>
    <col min="27" max="16384" width="9.125" style="21"/>
  </cols>
  <sheetData>
    <row r="1" spans="1:26">
      <c r="A1" s="30" t="s">
        <v>107</v>
      </c>
      <c r="B1" s="30"/>
      <c r="C1" s="30"/>
      <c r="D1" s="30"/>
      <c r="E1" s="30"/>
      <c r="F1" s="30"/>
      <c r="G1" s="30"/>
      <c r="H1" s="30"/>
      <c r="I1" s="30"/>
      <c r="J1" s="30"/>
      <c r="K1" s="30">
        <f>CAPA!A45</f>
        <v>2022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31" customFormat="1" ht="14.95" thickBot="1"/>
    <row r="3" spans="1:26" ht="14.95" thickBot="1">
      <c r="A3" s="534" t="s">
        <v>100</v>
      </c>
      <c r="B3" s="535"/>
      <c r="C3" s="535"/>
      <c r="D3" s="535"/>
      <c r="E3" s="535"/>
      <c r="F3" s="535"/>
      <c r="G3" s="535"/>
      <c r="H3" s="535"/>
      <c r="I3" s="535"/>
      <c r="J3" s="535"/>
      <c r="K3" s="536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6" ht="14.95" thickBot="1">
      <c r="A4" s="20"/>
      <c r="B4" s="23"/>
      <c r="C4" s="23"/>
      <c r="D4" s="23"/>
      <c r="E4" s="23"/>
      <c r="F4" s="23"/>
      <c r="G4" s="23"/>
      <c r="H4" s="23"/>
      <c r="I4" s="546"/>
      <c r="J4" s="546"/>
      <c r="K4" s="546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6">
      <c r="A5" s="68" t="s">
        <v>96</v>
      </c>
      <c r="B5" s="50" t="s">
        <v>97</v>
      </c>
      <c r="C5" s="50" t="s">
        <v>95</v>
      </c>
      <c r="D5" s="50" t="s">
        <v>102</v>
      </c>
      <c r="E5" s="50" t="s">
        <v>103</v>
      </c>
      <c r="F5" s="50" t="s">
        <v>104</v>
      </c>
      <c r="G5" s="50" t="s">
        <v>105</v>
      </c>
      <c r="H5" s="51" t="s">
        <v>106</v>
      </c>
    </row>
    <row r="6" spans="1:26">
      <c r="A6" s="37" t="s">
        <v>68</v>
      </c>
      <c r="B6" s="27" t="s">
        <v>92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35">
        <v>0</v>
      </c>
      <c r="I6" s="24"/>
      <c r="J6" s="24"/>
      <c r="K6" s="25"/>
    </row>
    <row r="7" spans="1:26">
      <c r="A7" s="37" t="s">
        <v>36</v>
      </c>
      <c r="B7" s="27" t="s">
        <v>18</v>
      </c>
      <c r="C7" s="28">
        <f>'1.cont x real'!C51</f>
        <v>0</v>
      </c>
      <c r="D7" s="28">
        <v>0</v>
      </c>
      <c r="E7" s="28">
        <v>0</v>
      </c>
      <c r="F7" s="28">
        <v>0</v>
      </c>
      <c r="G7" s="28">
        <v>0</v>
      </c>
      <c r="H7" s="35">
        <v>0</v>
      </c>
      <c r="I7" s="24"/>
      <c r="J7" s="24"/>
      <c r="K7" s="25"/>
    </row>
    <row r="8" spans="1:26">
      <c r="A8" s="37" t="s">
        <v>40</v>
      </c>
      <c r="B8" s="27" t="s">
        <v>93</v>
      </c>
      <c r="C8" s="28">
        <v>0</v>
      </c>
      <c r="D8" s="28">
        <v>0</v>
      </c>
      <c r="E8" s="28">
        <v>0</v>
      </c>
      <c r="F8" s="28">
        <v>0</v>
      </c>
      <c r="G8" s="29">
        <v>0</v>
      </c>
      <c r="H8" s="35">
        <v>0</v>
      </c>
      <c r="I8" s="24"/>
      <c r="J8" s="24"/>
      <c r="K8" s="25"/>
    </row>
    <row r="9" spans="1:26" ht="14.95" thickBot="1">
      <c r="A9" s="40" t="s">
        <v>94</v>
      </c>
      <c r="B9" s="39" t="s">
        <v>18</v>
      </c>
      <c r="C9" s="97">
        <f>'1.cont x real'!C52</f>
        <v>0</v>
      </c>
      <c r="D9" s="97">
        <v>0</v>
      </c>
      <c r="E9" s="97">
        <v>0</v>
      </c>
      <c r="F9" s="97">
        <v>0</v>
      </c>
      <c r="G9" s="97">
        <v>0</v>
      </c>
      <c r="H9" s="98">
        <v>0</v>
      </c>
    </row>
    <row r="10" spans="1:26" ht="14.95" thickBot="1">
      <c r="A10" s="547" t="s">
        <v>37</v>
      </c>
      <c r="B10" s="548"/>
      <c r="C10" s="452">
        <f t="shared" ref="C10:G10" si="0">SUM(C6:C9)</f>
        <v>0</v>
      </c>
      <c r="D10" s="453">
        <f t="shared" si="0"/>
        <v>0</v>
      </c>
      <c r="E10" s="454">
        <f t="shared" si="0"/>
        <v>0</v>
      </c>
      <c r="F10" s="456">
        <f t="shared" si="0"/>
        <v>0</v>
      </c>
      <c r="G10" s="454">
        <f t="shared" si="0"/>
        <v>0</v>
      </c>
      <c r="H10" s="457">
        <f>SUM(H6:H9)</f>
        <v>0</v>
      </c>
      <c r="M10" s="24"/>
    </row>
    <row r="11" spans="1:26" ht="14.95" thickBot="1">
      <c r="D11" s="24"/>
      <c r="E11" s="24"/>
      <c r="F11" s="24"/>
      <c r="G11" s="24"/>
      <c r="H11" s="24"/>
      <c r="I11" s="24"/>
      <c r="J11" s="24"/>
      <c r="K11" s="25"/>
      <c r="M11" s="24"/>
      <c r="N11" s="24"/>
    </row>
    <row r="12" spans="1:26" ht="14.95" thickBot="1">
      <c r="A12" s="543" t="s">
        <v>110</v>
      </c>
      <c r="B12" s="544"/>
      <c r="C12" s="544"/>
      <c r="D12" s="545"/>
      <c r="E12" s="17"/>
      <c r="F12" s="17"/>
      <c r="G12" s="17"/>
      <c r="H12" s="17"/>
      <c r="I12" s="17"/>
      <c r="J12" s="17"/>
      <c r="K12" s="17"/>
      <c r="M12" s="24"/>
    </row>
    <row r="13" spans="1:26">
      <c r="A13" s="52" t="s">
        <v>153</v>
      </c>
      <c r="B13" s="553" t="s">
        <v>154</v>
      </c>
      <c r="C13" s="554"/>
      <c r="D13" s="45" t="s">
        <v>34</v>
      </c>
      <c r="L13" s="25"/>
    </row>
    <row r="14" spans="1:26" ht="14.95" thickBot="1">
      <c r="A14" s="66">
        <f>'1.cont x real'!V83</f>
        <v>250800</v>
      </c>
      <c r="B14" s="551">
        <f>SUM(C10:H10)</f>
        <v>0</v>
      </c>
      <c r="C14" s="552"/>
      <c r="D14" s="67">
        <f>B14/A14</f>
        <v>0</v>
      </c>
    </row>
    <row r="15" spans="1:26" ht="14.95" thickBot="1">
      <c r="A15" s="24"/>
      <c r="B15" s="24"/>
      <c r="C15" s="25"/>
    </row>
    <row r="16" spans="1:26" ht="14.95" thickBot="1">
      <c r="A16" s="537" t="s">
        <v>101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9"/>
    </row>
    <row r="17" spans="1:14" ht="14.95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4">
      <c r="A18" s="68" t="s">
        <v>96</v>
      </c>
      <c r="B18" s="50" t="s">
        <v>97</v>
      </c>
      <c r="C18" s="50" t="s">
        <v>95</v>
      </c>
      <c r="D18" s="50" t="s">
        <v>102</v>
      </c>
      <c r="E18" s="50" t="s">
        <v>103</v>
      </c>
      <c r="F18" s="50" t="s">
        <v>104</v>
      </c>
      <c r="G18" s="50" t="s">
        <v>105</v>
      </c>
      <c r="H18" s="51" t="s">
        <v>106</v>
      </c>
    </row>
    <row r="19" spans="1:14">
      <c r="A19" s="36" t="s">
        <v>38</v>
      </c>
      <c r="B19" s="27" t="s">
        <v>98</v>
      </c>
      <c r="C19" s="28">
        <f>'1.cont x real'!C56</f>
        <v>0</v>
      </c>
      <c r="D19" s="28">
        <f>'1.cont x real'!D56</f>
        <v>0</v>
      </c>
      <c r="E19" s="28">
        <f>'1.cont x real'!E56</f>
        <v>0</v>
      </c>
      <c r="F19" s="28">
        <f>'1.cont x real'!F56</f>
        <v>0</v>
      </c>
      <c r="G19" s="28">
        <f>'1.cont x real'!G56</f>
        <v>0</v>
      </c>
      <c r="H19" s="35">
        <f>'1.cont x real'!H56</f>
        <v>0</v>
      </c>
      <c r="J19" s="24"/>
      <c r="K19" s="33"/>
    </row>
    <row r="20" spans="1:14">
      <c r="A20" s="36" t="s">
        <v>39</v>
      </c>
      <c r="B20" s="27" t="s">
        <v>98</v>
      </c>
      <c r="C20" s="28">
        <f>'1.cont x real'!C57</f>
        <v>0</v>
      </c>
      <c r="D20" s="28">
        <f>'1.cont x real'!F57</f>
        <v>0</v>
      </c>
      <c r="E20" s="28">
        <v>0</v>
      </c>
      <c r="F20" s="28">
        <v>0</v>
      </c>
      <c r="G20" s="298">
        <v>0</v>
      </c>
      <c r="H20" s="35">
        <v>0</v>
      </c>
      <c r="J20" s="24"/>
      <c r="K20" s="33"/>
    </row>
    <row r="21" spans="1:14">
      <c r="A21" s="36" t="s">
        <v>35</v>
      </c>
      <c r="B21" s="27" t="s">
        <v>98</v>
      </c>
      <c r="C21" s="28">
        <f>'1.cont x real'!C58</f>
        <v>0</v>
      </c>
      <c r="D21" s="28">
        <f>'1.cont x real'!F58</f>
        <v>0</v>
      </c>
      <c r="E21" s="28">
        <v>0</v>
      </c>
      <c r="F21" s="28">
        <v>0</v>
      </c>
      <c r="G21" s="298">
        <v>0</v>
      </c>
      <c r="H21" s="35">
        <v>0</v>
      </c>
      <c r="J21" s="24"/>
      <c r="K21" s="33"/>
    </row>
    <row r="22" spans="1:14">
      <c r="A22" s="353" t="s">
        <v>35</v>
      </c>
      <c r="B22" s="39" t="s">
        <v>19</v>
      </c>
      <c r="C22" s="28">
        <v>0</v>
      </c>
      <c r="D22" s="28">
        <f>'1.cont x real'!F59</f>
        <v>0</v>
      </c>
      <c r="E22" s="28">
        <v>0</v>
      </c>
      <c r="F22" s="28">
        <v>0</v>
      </c>
      <c r="G22" s="298">
        <v>0</v>
      </c>
      <c r="H22" s="35">
        <v>0</v>
      </c>
      <c r="J22" s="24"/>
      <c r="K22" s="33"/>
    </row>
    <row r="23" spans="1:14" ht="14.95" thickBot="1">
      <c r="A23" s="38" t="s">
        <v>40</v>
      </c>
      <c r="B23" s="39" t="s">
        <v>20</v>
      </c>
      <c r="C23" s="97">
        <f>'1.cont x real'!C79</f>
        <v>0</v>
      </c>
      <c r="D23" s="97">
        <f>'1.cont x real'!F60</f>
        <v>0</v>
      </c>
      <c r="E23" s="97">
        <v>0</v>
      </c>
      <c r="F23" s="97">
        <v>0</v>
      </c>
      <c r="G23" s="354">
        <v>0</v>
      </c>
      <c r="H23" s="98">
        <v>0</v>
      </c>
    </row>
    <row r="24" spans="1:14" ht="14.95" thickBot="1">
      <c r="A24" s="547" t="s">
        <v>37</v>
      </c>
      <c r="B24" s="548"/>
      <c r="C24" s="455">
        <f t="shared" ref="C24:H24" si="1">SUM(C19:C23)</f>
        <v>0</v>
      </c>
      <c r="D24" s="454">
        <f t="shared" si="1"/>
        <v>0</v>
      </c>
      <c r="E24" s="456">
        <f t="shared" si="1"/>
        <v>0</v>
      </c>
      <c r="F24" s="454">
        <f t="shared" si="1"/>
        <v>0</v>
      </c>
      <c r="G24" s="99">
        <f t="shared" si="1"/>
        <v>0</v>
      </c>
      <c r="H24" s="101">
        <f t="shared" si="1"/>
        <v>0</v>
      </c>
    </row>
    <row r="25" spans="1:14" s="10" customFormat="1" ht="14.95" thickBot="1">
      <c r="N25" s="22"/>
    </row>
    <row r="26" spans="1:14" s="10" customFormat="1" ht="14.95" thickBot="1">
      <c r="A26" s="543" t="s">
        <v>111</v>
      </c>
      <c r="B26" s="544"/>
      <c r="C26" s="544"/>
      <c r="D26" s="545"/>
      <c r="E26" s="17"/>
      <c r="F26" s="17"/>
      <c r="G26" s="17"/>
      <c r="H26" s="17"/>
      <c r="I26" s="17"/>
      <c r="J26" s="17"/>
      <c r="K26" s="17"/>
    </row>
    <row r="27" spans="1:14" s="10" customFormat="1" ht="14.95" thickBot="1">
      <c r="A27" s="462" t="s">
        <v>153</v>
      </c>
      <c r="B27" s="461" t="s">
        <v>154</v>
      </c>
      <c r="C27" s="459"/>
      <c r="D27" s="460" t="s">
        <v>34</v>
      </c>
      <c r="E27" s="21"/>
      <c r="F27" s="21"/>
      <c r="G27" s="32"/>
      <c r="H27" s="21"/>
      <c r="I27" s="21"/>
      <c r="J27" s="24"/>
    </row>
    <row r="28" spans="1:14" s="10" customFormat="1" ht="14.95" thickBot="1">
      <c r="A28" s="454">
        <f>'1.cont x real'!V84</f>
        <v>2340</v>
      </c>
      <c r="B28" s="532">
        <f>SUM(C24:H24)</f>
        <v>0</v>
      </c>
      <c r="C28" s="533"/>
      <c r="D28" s="458">
        <f>B28/A28</f>
        <v>0</v>
      </c>
    </row>
    <row r="29" spans="1:14" s="10" customFormat="1"/>
    <row r="30" spans="1:14" s="10" customFormat="1">
      <c r="K30" s="10">
        <v>457</v>
      </c>
    </row>
    <row r="31" spans="1:14" s="26" customFormat="1"/>
    <row r="32" spans="1:14">
      <c r="A32" s="10"/>
      <c r="B32" s="10"/>
      <c r="C32" s="10"/>
      <c r="D32" s="10"/>
      <c r="E32" s="10"/>
      <c r="F32" s="10"/>
      <c r="G32" s="10"/>
      <c r="H32" s="47"/>
      <c r="I32" s="47"/>
      <c r="J32" s="47"/>
    </row>
    <row r="33" spans="1:10">
      <c r="A33" s="10"/>
      <c r="B33" s="10"/>
      <c r="C33" s="10"/>
      <c r="D33" s="10"/>
      <c r="E33" s="10"/>
      <c r="F33" s="10"/>
      <c r="G33" s="10"/>
      <c r="H33" s="47"/>
      <c r="I33" s="47"/>
      <c r="J33" s="47"/>
    </row>
    <row r="34" spans="1:10">
      <c r="A34" s="10"/>
      <c r="B34" s="22"/>
      <c r="C34" s="22"/>
      <c r="D34" s="22"/>
      <c r="E34" s="22"/>
      <c r="F34" s="22"/>
      <c r="G34" s="22"/>
      <c r="H34" s="47"/>
      <c r="I34" s="47"/>
      <c r="J34" s="47"/>
    </row>
    <row r="35" spans="1:10">
      <c r="A35" s="10"/>
      <c r="B35" s="10"/>
      <c r="C35" s="10"/>
      <c r="D35" s="10"/>
      <c r="E35" s="10"/>
      <c r="F35" s="10"/>
      <c r="G35" s="10"/>
      <c r="H35" s="47"/>
      <c r="I35" s="47"/>
      <c r="J35" s="47"/>
    </row>
    <row r="36" spans="1:10">
      <c r="A36" s="10"/>
      <c r="B36" s="10"/>
      <c r="C36" s="10"/>
      <c r="D36" s="10"/>
      <c r="E36" s="10"/>
      <c r="F36" s="10"/>
      <c r="G36" s="10"/>
      <c r="H36" s="47"/>
      <c r="I36" s="47"/>
      <c r="J36" s="47"/>
    </row>
    <row r="37" spans="1:10">
      <c r="A37" s="10"/>
      <c r="B37" s="22"/>
      <c r="C37" s="22"/>
      <c r="D37" s="22"/>
      <c r="E37" s="22"/>
      <c r="F37" s="22"/>
      <c r="G37" s="22"/>
      <c r="H37" s="48"/>
      <c r="I37" s="48"/>
      <c r="J37" s="47"/>
    </row>
    <row r="38" spans="1:10">
      <c r="A38" s="10"/>
      <c r="B38" s="10"/>
      <c r="C38" s="10"/>
      <c r="D38" s="10"/>
      <c r="E38" s="10"/>
      <c r="F38" s="10"/>
      <c r="G38" s="10"/>
      <c r="H38" s="47"/>
      <c r="I38" s="47"/>
      <c r="J38" s="47"/>
    </row>
    <row r="39" spans="1:10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>
      <c r="A42" s="47"/>
      <c r="B42" s="47"/>
      <c r="C42" s="47"/>
      <c r="D42" s="47"/>
      <c r="E42" s="47"/>
      <c r="F42" s="47"/>
      <c r="G42" s="47"/>
      <c r="H42" s="47"/>
      <c r="I42" s="47"/>
      <c r="J42" s="47"/>
    </row>
  </sheetData>
  <customSheetViews>
    <customSheetView guid="{735276B6-8B53-4447-B7C2-CBEDAEBC1390}" showPageBreaks="1" printArea="1" view="pageLayout" topLeftCell="A40">
      <selection sqref="A1:L43"/>
      <pageMargins left="0.65625" right="1.2906249999999999" top="1.3854166666666667" bottom="0.78740157480314965" header="0.31496062992125984" footer="0.31496062992125984"/>
      <pageSetup paperSize="9" scale="70" orientation="landscape" horizontalDpi="4294967294" verticalDpi="0" r:id="rId1"/>
      <headerFooter>
        <oddHeader>&amp;L&amp;G&amp;CSPDM - ASSOCIAÇÃO PAULISTA PARA O DESENVOLVIMENTO DA MEDICINA&amp;R&amp;G</oddHeader>
        <oddFooter>&amp;R1.1</oddFooter>
      </headerFooter>
    </customSheetView>
  </customSheetViews>
  <mergeCells count="10">
    <mergeCell ref="A26:D26"/>
    <mergeCell ref="B28:C28"/>
    <mergeCell ref="A12:D12"/>
    <mergeCell ref="A3:K3"/>
    <mergeCell ref="I4:K4"/>
    <mergeCell ref="A10:B10"/>
    <mergeCell ref="A16:K16"/>
    <mergeCell ref="A24:B24"/>
    <mergeCell ref="B14:C14"/>
    <mergeCell ref="B13:C13"/>
  </mergeCells>
  <printOptions verticalCentered="1"/>
  <pageMargins left="0.78740157480314965" right="0" top="0.86614173228346458" bottom="0.19685039370078741" header="0.11811023622047245" footer="0.31496062992125984"/>
  <pageSetup paperSize="9" scale="79" orientation="landscape" horizontalDpi="4294967294" r:id="rId2"/>
  <headerFooter>
    <oddHeader>&amp;L&amp;G&amp;CSPDM - ASSOCIAÇÃO PAULISTA PARA O DESENVOLVIMENTO DA MEDICINA&amp;R&amp;G</oddHeader>
    <oddFooter>&amp;R1.1</oddFoot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A1:V187"/>
  <sheetViews>
    <sheetView showGridLines="0" view="pageBreakPreview" zoomScaleNormal="100" zoomScaleSheetLayoutView="100" zoomScalePageLayoutView="80" workbookViewId="0">
      <selection activeCell="U11" sqref="U11"/>
    </sheetView>
  </sheetViews>
  <sheetFormatPr defaultRowHeight="14.3"/>
  <cols>
    <col min="1" max="1" width="10.375" customWidth="1"/>
    <col min="2" max="2" width="17.875" bestFit="1" customWidth="1"/>
    <col min="3" max="5" width="9.25" customWidth="1"/>
    <col min="6" max="7" width="9.875" customWidth="1"/>
    <col min="8" max="14" width="9.25" customWidth="1"/>
    <col min="15" max="15" width="10.125" customWidth="1"/>
    <col min="16" max="16" width="10.125" style="13" customWidth="1"/>
  </cols>
  <sheetData>
    <row r="1" spans="1:22" ht="29.25" customHeight="1" thickBot="1"/>
    <row r="2" spans="1:22" ht="13.6" customHeight="1" thickBot="1">
      <c r="A2" s="584" t="s">
        <v>199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347">
        <v>2022</v>
      </c>
    </row>
    <row r="3" spans="1:22" ht="12.1" customHeight="1">
      <c r="A3" s="80" t="s">
        <v>3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7"/>
    </row>
    <row r="4" spans="1:22">
      <c r="A4" s="589" t="s">
        <v>18</v>
      </c>
      <c r="B4" s="6"/>
      <c r="C4" s="11" t="s">
        <v>30</v>
      </c>
      <c r="D4" s="11" t="s">
        <v>31</v>
      </c>
      <c r="E4" s="11" t="s">
        <v>2</v>
      </c>
      <c r="F4" s="11" t="s">
        <v>32</v>
      </c>
      <c r="G4" s="11" t="s">
        <v>33</v>
      </c>
      <c r="H4" s="11" t="s">
        <v>54</v>
      </c>
      <c r="I4" s="11" t="s">
        <v>55</v>
      </c>
      <c r="J4" s="11" t="s">
        <v>56</v>
      </c>
      <c r="K4" s="11" t="s">
        <v>57</v>
      </c>
      <c r="L4" s="11" t="s">
        <v>58</v>
      </c>
      <c r="M4" s="11" t="s">
        <v>59</v>
      </c>
      <c r="N4" s="11" t="s">
        <v>60</v>
      </c>
      <c r="O4" s="11" t="s">
        <v>16</v>
      </c>
      <c r="P4" s="12" t="s">
        <v>17</v>
      </c>
    </row>
    <row r="5" spans="1:22">
      <c r="A5" s="589"/>
      <c r="B5" s="16" t="s">
        <v>41</v>
      </c>
      <c r="C5" s="9">
        <v>211.52941176470588</v>
      </c>
      <c r="D5" s="9">
        <v>185.43627450980392</v>
      </c>
      <c r="E5" s="9">
        <v>192.17886178861789</v>
      </c>
      <c r="F5" s="9">
        <v>194.16379310344828</v>
      </c>
      <c r="G5" s="9">
        <v>191.41350210970464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5">
        <f>SUM(C5:N5)</f>
        <v>974.72184327628065</v>
      </c>
      <c r="P5" s="7">
        <f>IFERROR(AVERAGE(C5:N5),"-")</f>
        <v>81.226820273023392</v>
      </c>
      <c r="Q5" s="18"/>
      <c r="V5" s="267"/>
    </row>
    <row r="6" spans="1:22">
      <c r="A6" s="589"/>
      <c r="B6" s="16" t="s">
        <v>70</v>
      </c>
      <c r="C6" s="9">
        <v>9.7478991596638664</v>
      </c>
      <c r="D6" s="9">
        <v>12.294117647058822</v>
      </c>
      <c r="E6" s="9">
        <v>10.341463414634147</v>
      </c>
      <c r="F6" s="9">
        <v>23.068965517241377</v>
      </c>
      <c r="G6" s="9">
        <v>19.050632911392405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5">
        <f>SUM(C6:N6)</f>
        <v>74.503078649990613</v>
      </c>
      <c r="P6" s="7">
        <f>IFERROR(AVERAGE(C6:N6),"-")</f>
        <v>6.208589887499218</v>
      </c>
      <c r="Q6" s="18"/>
      <c r="V6" s="267"/>
    </row>
    <row r="7" spans="1:22">
      <c r="A7" s="589"/>
      <c r="B7" s="16" t="s">
        <v>42</v>
      </c>
      <c r="C7" s="9">
        <v>9.7478991596638664</v>
      </c>
      <c r="D7" s="9">
        <v>8.1960784313725483</v>
      </c>
      <c r="E7" s="9">
        <v>9.4796747967479682</v>
      </c>
      <c r="F7" s="9">
        <v>1.9224137931034482</v>
      </c>
      <c r="G7" s="9">
        <v>4.5358649789029535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5">
        <f>SUM(C7:N7)</f>
        <v>33.881931159790781</v>
      </c>
      <c r="P7" s="7">
        <f>IFERROR(AVERAGE(C7:N7),"-")</f>
        <v>2.8234942633158986</v>
      </c>
      <c r="Q7" s="18"/>
      <c r="V7" s="267"/>
    </row>
    <row r="8" spans="1:22">
      <c r="A8" s="589"/>
      <c r="B8" s="16" t="s">
        <v>43</v>
      </c>
      <c r="C8" s="9">
        <v>0.97478991596638653</v>
      </c>
      <c r="D8" s="9">
        <v>3.0735294117647056</v>
      </c>
      <c r="E8" s="9">
        <v>0</v>
      </c>
      <c r="F8" s="9">
        <v>3.8448275862068964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5">
        <f>SUM(C8:N8)</f>
        <v>7.8931469139379882</v>
      </c>
      <c r="P8" s="7">
        <f>IFERROR(AVERAGE(C8:N8),"-")</f>
        <v>0.65776224282816564</v>
      </c>
      <c r="Q8" s="18"/>
      <c r="V8" s="267"/>
    </row>
    <row r="9" spans="1:22" ht="13.6" customHeight="1">
      <c r="A9" s="589"/>
      <c r="B9" s="69" t="s">
        <v>37</v>
      </c>
      <c r="C9" s="70">
        <f>SUM(C5:C8)</f>
        <v>232</v>
      </c>
      <c r="D9" s="70">
        <f>SUM(D5:D8)</f>
        <v>208.99999999999997</v>
      </c>
      <c r="E9" s="70">
        <f>SUM(E5:E8)</f>
        <v>212</v>
      </c>
      <c r="F9" s="70">
        <f t="shared" ref="F9:N9" si="0">SUM(F5:F8)</f>
        <v>223</v>
      </c>
      <c r="G9" s="70">
        <f t="shared" si="0"/>
        <v>215</v>
      </c>
      <c r="H9" s="70">
        <f t="shared" si="0"/>
        <v>0</v>
      </c>
      <c r="I9" s="70">
        <f t="shared" si="0"/>
        <v>0</v>
      </c>
      <c r="J9" s="71">
        <f t="shared" si="0"/>
        <v>0</v>
      </c>
      <c r="K9" s="71">
        <f t="shared" si="0"/>
        <v>0</v>
      </c>
      <c r="L9" s="71">
        <f t="shared" si="0"/>
        <v>0</v>
      </c>
      <c r="M9" s="71">
        <f t="shared" si="0"/>
        <v>0</v>
      </c>
      <c r="N9" s="71">
        <f t="shared" si="0"/>
        <v>0</v>
      </c>
      <c r="O9" s="70">
        <f>SUM(O5:O8)</f>
        <v>1091</v>
      </c>
      <c r="P9" s="70">
        <f>SUM(P5:P8)</f>
        <v>90.916666666666671</v>
      </c>
      <c r="V9" s="267"/>
    </row>
    <row r="10" spans="1:22" ht="13.6" customHeight="1">
      <c r="A10" s="591"/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V10" s="267"/>
    </row>
    <row r="11" spans="1:22" ht="13.6" customHeight="1">
      <c r="A11" s="589" t="s">
        <v>19</v>
      </c>
      <c r="B11" s="6"/>
      <c r="C11" s="11" t="s">
        <v>30</v>
      </c>
      <c r="D11" s="11" t="s">
        <v>31</v>
      </c>
      <c r="E11" s="11" t="s">
        <v>2</v>
      </c>
      <c r="F11" s="11" t="s">
        <v>32</v>
      </c>
      <c r="G11" s="11" t="s">
        <v>33</v>
      </c>
      <c r="H11" s="11" t="s">
        <v>54</v>
      </c>
      <c r="I11" s="11" t="s">
        <v>55</v>
      </c>
      <c r="J11" s="11" t="s">
        <v>56</v>
      </c>
      <c r="K11" s="11" t="s">
        <v>57</v>
      </c>
      <c r="L11" s="11" t="s">
        <v>58</v>
      </c>
      <c r="M11" s="11" t="s">
        <v>59</v>
      </c>
      <c r="N11" s="11" t="s">
        <v>60</v>
      </c>
      <c r="O11" s="11" t="s">
        <v>16</v>
      </c>
      <c r="P11" s="12" t="s">
        <v>17</v>
      </c>
      <c r="V11" s="267"/>
    </row>
    <row r="12" spans="1:22" ht="13.6" customHeight="1">
      <c r="A12" s="589"/>
      <c r="B12" s="16" t="s">
        <v>41</v>
      </c>
      <c r="C12" s="9">
        <v>116.03738317757009</v>
      </c>
      <c r="D12" s="9">
        <v>87.069767441860463</v>
      </c>
      <c r="E12" s="9">
        <v>125.05</v>
      </c>
      <c r="F12" s="9">
        <v>96.452631578947361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5">
        <f>SUM(C12:N12)</f>
        <v>424.60978219837796</v>
      </c>
      <c r="P12" s="7">
        <f>IFERROR(AVERAGE(C12:N12),"-")</f>
        <v>35.384148516531496</v>
      </c>
      <c r="V12" s="267"/>
    </row>
    <row r="13" spans="1:22" ht="13.6" customHeight="1">
      <c r="A13" s="589"/>
      <c r="B13" s="16" t="s">
        <v>70</v>
      </c>
      <c r="C13" s="9">
        <v>2.3925233644859811</v>
      </c>
      <c r="D13" s="9">
        <v>7.2558139534883717</v>
      </c>
      <c r="E13" s="9">
        <v>22.55</v>
      </c>
      <c r="F13" s="9">
        <v>13.778947368421052</v>
      </c>
      <c r="G13" s="9">
        <v>4.3934426229508201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5">
        <f>SUM(C13:N13)</f>
        <v>50.370727309346222</v>
      </c>
      <c r="P13" s="7">
        <f>IFERROR(AVERAGE(C13:N13),"-")</f>
        <v>4.1975606091121849</v>
      </c>
      <c r="V13" s="267"/>
    </row>
    <row r="14" spans="1:22" ht="13.6" customHeight="1">
      <c r="A14" s="589"/>
      <c r="B14" s="16" t="s">
        <v>42</v>
      </c>
      <c r="C14" s="9">
        <v>5.981308411214953</v>
      </c>
      <c r="D14" s="9">
        <v>9.6744186046511622</v>
      </c>
      <c r="E14" s="9">
        <v>16.400000000000002</v>
      </c>
      <c r="F14" s="9">
        <v>8.7684210526315773</v>
      </c>
      <c r="G14" s="9">
        <v>2.1967213114754101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5">
        <f>SUM(C14:N14)</f>
        <v>43.020869379973099</v>
      </c>
      <c r="P14" s="7">
        <f>IFERROR(AVERAGE(C14:N14),"-")</f>
        <v>3.5850724483310916</v>
      </c>
      <c r="V14" s="267"/>
    </row>
    <row r="15" spans="1:22" ht="13.6" customHeight="1">
      <c r="A15" s="589"/>
      <c r="B15" s="16" t="s">
        <v>43</v>
      </c>
      <c r="C15" s="9">
        <v>3.5887850467289719</v>
      </c>
      <c r="D15" s="9">
        <v>0</v>
      </c>
      <c r="E15" s="9">
        <v>0</v>
      </c>
      <c r="F15" s="9">
        <v>0</v>
      </c>
      <c r="G15" s="9">
        <v>127.40983606557376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5">
        <f>SUM(C15:N15)</f>
        <v>130.99862111230271</v>
      </c>
      <c r="P15" s="7">
        <f>IFERROR(AVERAGE(C15:N15),"-")</f>
        <v>10.91655175935856</v>
      </c>
      <c r="V15" s="267"/>
    </row>
    <row r="16" spans="1:22" ht="13.6" customHeight="1">
      <c r="A16" s="589"/>
      <c r="B16" s="69" t="s">
        <v>37</v>
      </c>
      <c r="C16" s="70">
        <f>SUM(C12:C15)</f>
        <v>128</v>
      </c>
      <c r="D16" s="70">
        <f>SUM(D12:D15)</f>
        <v>104</v>
      </c>
      <c r="E16" s="70">
        <f>SUM(E12:E15)</f>
        <v>164</v>
      </c>
      <c r="F16" s="70">
        <f t="shared" ref="F16:N16" si="1">SUM(F12:F15)</f>
        <v>119</v>
      </c>
      <c r="G16" s="70">
        <f t="shared" si="1"/>
        <v>134</v>
      </c>
      <c r="H16" s="70">
        <f t="shared" si="1"/>
        <v>0</v>
      </c>
      <c r="I16" s="70">
        <f t="shared" si="1"/>
        <v>0</v>
      </c>
      <c r="J16" s="71">
        <f t="shared" si="1"/>
        <v>0</v>
      </c>
      <c r="K16" s="71">
        <f t="shared" si="1"/>
        <v>0</v>
      </c>
      <c r="L16" s="71">
        <f t="shared" si="1"/>
        <v>0</v>
      </c>
      <c r="M16" s="71">
        <f t="shared" si="1"/>
        <v>0</v>
      </c>
      <c r="N16" s="71">
        <f t="shared" si="1"/>
        <v>0</v>
      </c>
      <c r="O16" s="70">
        <f>SUM(O12:O15)</f>
        <v>649</v>
      </c>
      <c r="P16" s="70">
        <f>SUM(P12:P15)</f>
        <v>54.083333333333336</v>
      </c>
      <c r="V16" s="267"/>
    </row>
    <row r="17" spans="1:22">
      <c r="A17" s="350"/>
      <c r="B17" s="348"/>
      <c r="C17" s="581"/>
      <c r="D17" s="582"/>
      <c r="E17" s="582"/>
      <c r="F17" s="583"/>
      <c r="G17" s="348"/>
      <c r="H17" s="348"/>
      <c r="I17" s="348"/>
      <c r="J17" s="348"/>
      <c r="K17" s="348"/>
      <c r="L17" s="348"/>
      <c r="M17" s="348"/>
      <c r="N17" s="348"/>
      <c r="O17" s="348"/>
      <c r="P17" s="349"/>
      <c r="V17" s="267"/>
    </row>
    <row r="18" spans="1:22">
      <c r="A18" s="589" t="s">
        <v>20</v>
      </c>
      <c r="B18" s="16" t="s">
        <v>41</v>
      </c>
      <c r="C18" s="3">
        <v>51.999999999999993</v>
      </c>
      <c r="D18" s="3">
        <v>37.893333333333331</v>
      </c>
      <c r="E18" s="3">
        <v>43.150684931506845</v>
      </c>
      <c r="F18" s="3">
        <v>72.440944881889763</v>
      </c>
      <c r="G18" s="3">
        <v>2.5280898876404492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5">
        <f>SUM(C18:N18)</f>
        <v>208.01305303437036</v>
      </c>
      <c r="P18" s="7">
        <f>IFERROR(AVERAGE(C18:N18),"-")</f>
        <v>17.33442108619753</v>
      </c>
      <c r="V18" s="267"/>
    </row>
    <row r="19" spans="1:22">
      <c r="A19" s="589"/>
      <c r="B19" s="16" t="s">
        <v>70</v>
      </c>
      <c r="C19" s="3">
        <v>34</v>
      </c>
      <c r="D19" s="3">
        <v>14.693333333333335</v>
      </c>
      <c r="E19" s="3">
        <v>15.534246575342465</v>
      </c>
      <c r="F19" s="3">
        <v>21.259842519685041</v>
      </c>
      <c r="G19" s="3">
        <v>11.797752808988763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5">
        <f>SUM(C19:N19)</f>
        <v>97.285175237349605</v>
      </c>
      <c r="P19" s="7">
        <f>IFERROR(AVERAGE(C19:N19),"-")</f>
        <v>8.1070979364458005</v>
      </c>
      <c r="V19" s="267"/>
    </row>
    <row r="20" spans="1:22">
      <c r="A20" s="589"/>
      <c r="B20" s="16" t="s">
        <v>42</v>
      </c>
      <c r="C20" s="3">
        <v>6</v>
      </c>
      <c r="D20" s="3">
        <v>5.413333333333334</v>
      </c>
      <c r="E20" s="3">
        <v>4.3150684931506849</v>
      </c>
      <c r="F20" s="3">
        <v>6.2992125984251963</v>
      </c>
      <c r="G20" s="3">
        <v>31.179775280898877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5">
        <f>SUM(C20:N20)</f>
        <v>53.207389705808097</v>
      </c>
      <c r="P20" s="7">
        <f>IFERROR(AVERAGE(C20:N20),"-")</f>
        <v>4.4339491421506745</v>
      </c>
      <c r="V20" s="267"/>
    </row>
    <row r="21" spans="1:22">
      <c r="A21" s="589"/>
      <c r="B21" s="16" t="s">
        <v>43</v>
      </c>
      <c r="C21" s="3">
        <v>0</v>
      </c>
      <c r="D21" s="3">
        <v>0</v>
      </c>
      <c r="E21" s="3">
        <v>0</v>
      </c>
      <c r="F21" s="3">
        <v>0</v>
      </c>
      <c r="G21" s="3">
        <v>104.49438202247191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5">
        <f>SUM(C21:N21)</f>
        <v>104.49438202247191</v>
      </c>
      <c r="P21" s="7">
        <f>IFERROR(AVERAGE(C21:N21),"-")</f>
        <v>8.7078651685393265</v>
      </c>
      <c r="V21" s="267"/>
    </row>
    <row r="22" spans="1:22" ht="13.6" customHeight="1" thickBot="1">
      <c r="A22" s="590"/>
      <c r="B22" s="72" t="s">
        <v>37</v>
      </c>
      <c r="C22" s="73">
        <f t="shared" ref="C22:N22" si="2">SUM(C18:C21)</f>
        <v>92</v>
      </c>
      <c r="D22" s="73">
        <f t="shared" si="2"/>
        <v>58</v>
      </c>
      <c r="E22" s="73">
        <f t="shared" si="2"/>
        <v>62.999999999999993</v>
      </c>
      <c r="F22" s="73">
        <f t="shared" si="2"/>
        <v>100</v>
      </c>
      <c r="G22" s="73">
        <v>150</v>
      </c>
      <c r="H22" s="73">
        <f t="shared" si="2"/>
        <v>0</v>
      </c>
      <c r="I22" s="73">
        <f t="shared" si="2"/>
        <v>0</v>
      </c>
      <c r="J22" s="74">
        <f t="shared" si="2"/>
        <v>0</v>
      </c>
      <c r="K22" s="74">
        <f t="shared" si="2"/>
        <v>0</v>
      </c>
      <c r="L22" s="74">
        <f t="shared" si="2"/>
        <v>0</v>
      </c>
      <c r="M22" s="74">
        <f>SUM(M18:M21)</f>
        <v>0</v>
      </c>
      <c r="N22" s="74">
        <f t="shared" si="2"/>
        <v>0</v>
      </c>
      <c r="O22" s="73">
        <f>SUM(O18:O21)</f>
        <v>463</v>
      </c>
      <c r="P22" s="73">
        <f>SUM(P18:P21)</f>
        <v>38.583333333333329</v>
      </c>
      <c r="V22" s="267"/>
    </row>
    <row r="23" spans="1:22" ht="12.1" customHeight="1">
      <c r="A23" s="579" t="s">
        <v>44</v>
      </c>
      <c r="B23" s="580"/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</row>
    <row r="24" spans="1:22">
      <c r="A24" s="576" t="s">
        <v>18</v>
      </c>
      <c r="B24" s="6"/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1" t="s">
        <v>10</v>
      </c>
      <c r="J24" s="11" t="s">
        <v>11</v>
      </c>
      <c r="K24" s="11" t="s">
        <v>12</v>
      </c>
      <c r="L24" s="11" t="s">
        <v>13</v>
      </c>
      <c r="M24" s="11" t="s">
        <v>14</v>
      </c>
      <c r="N24" s="11" t="s">
        <v>15</v>
      </c>
      <c r="O24" s="12" t="s">
        <v>17</v>
      </c>
    </row>
    <row r="25" spans="1:22">
      <c r="A25" s="577"/>
      <c r="B25" s="16" t="s">
        <v>41</v>
      </c>
      <c r="C25" s="4">
        <f t="shared" ref="C25:N25" si="3">IFERROR((C5/C9),"-")</f>
        <v>0.91176470588235292</v>
      </c>
      <c r="D25" s="4">
        <f t="shared" si="3"/>
        <v>0.88725490196078449</v>
      </c>
      <c r="E25" s="4">
        <f t="shared" si="3"/>
        <v>0.9065040650406504</v>
      </c>
      <c r="F25" s="4">
        <f t="shared" si="3"/>
        <v>0.87068965517241381</v>
      </c>
      <c r="G25" s="4">
        <f t="shared" si="3"/>
        <v>0.89029535864978904</v>
      </c>
      <c r="H25" s="4" t="str">
        <f t="shared" si="3"/>
        <v>-</v>
      </c>
      <c r="I25" s="4" t="str">
        <f t="shared" si="3"/>
        <v>-</v>
      </c>
      <c r="J25" s="4" t="str">
        <f t="shared" si="3"/>
        <v>-</v>
      </c>
      <c r="K25" s="4" t="str">
        <f t="shared" si="3"/>
        <v>-</v>
      </c>
      <c r="L25" s="4" t="str">
        <f t="shared" si="3"/>
        <v>-</v>
      </c>
      <c r="M25" s="4" t="str">
        <f t="shared" si="3"/>
        <v>-</v>
      </c>
      <c r="N25" s="4" t="str">
        <f t="shared" si="3"/>
        <v>-</v>
      </c>
      <c r="O25" s="19">
        <f>IFERROR(AVERAGE(C25:N25),"-")</f>
        <v>0.89330173734119822</v>
      </c>
    </row>
    <row r="26" spans="1:22">
      <c r="A26" s="577"/>
      <c r="B26" s="16" t="s">
        <v>42</v>
      </c>
      <c r="C26" s="4">
        <f t="shared" ref="C26:N26" si="4">IFERROR((C6/C9),"-")</f>
        <v>4.2016806722689079E-2</v>
      </c>
      <c r="D26" s="4">
        <f t="shared" si="4"/>
        <v>5.8823529411764712E-2</v>
      </c>
      <c r="E26" s="4">
        <f>IFERROR((E6/E9),"-")</f>
        <v>4.878048780487805E-2</v>
      </c>
      <c r="F26" s="4">
        <f t="shared" si="4"/>
        <v>0.10344827586206895</v>
      </c>
      <c r="G26" s="4">
        <f t="shared" si="4"/>
        <v>8.8607594936708861E-2</v>
      </c>
      <c r="H26" s="4" t="str">
        <f t="shared" si="4"/>
        <v>-</v>
      </c>
      <c r="I26" s="4" t="str">
        <f t="shared" si="4"/>
        <v>-</v>
      </c>
      <c r="J26" s="4" t="str">
        <f t="shared" si="4"/>
        <v>-</v>
      </c>
      <c r="K26" s="4" t="str">
        <f t="shared" si="4"/>
        <v>-</v>
      </c>
      <c r="L26" s="4" t="str">
        <f t="shared" si="4"/>
        <v>-</v>
      </c>
      <c r="M26" s="4" t="str">
        <f t="shared" si="4"/>
        <v>-</v>
      </c>
      <c r="N26" s="4" t="str">
        <f t="shared" si="4"/>
        <v>-</v>
      </c>
      <c r="O26" s="19">
        <f>IFERROR(AVERAGE(C26:N26),"-")</f>
        <v>6.8335338947621935E-2</v>
      </c>
    </row>
    <row r="27" spans="1:22">
      <c r="A27" s="577"/>
      <c r="B27" s="16" t="s">
        <v>70</v>
      </c>
      <c r="C27" s="4">
        <f t="shared" ref="C27:N27" si="5">IFERROR((C7/C9),"-")</f>
        <v>4.2016806722689079E-2</v>
      </c>
      <c r="D27" s="4">
        <f t="shared" si="5"/>
        <v>3.9215686274509803E-2</v>
      </c>
      <c r="E27" s="4">
        <f>IFERROR((E7/E9),"-")</f>
        <v>4.4715447154471545E-2</v>
      </c>
      <c r="F27" s="4">
        <f t="shared" si="5"/>
        <v>8.6206896551724137E-3</v>
      </c>
      <c r="G27" s="4">
        <f t="shared" si="5"/>
        <v>2.1097046413502109E-2</v>
      </c>
      <c r="H27" s="4" t="str">
        <f t="shared" si="5"/>
        <v>-</v>
      </c>
      <c r="I27" s="4" t="str">
        <f t="shared" si="5"/>
        <v>-</v>
      </c>
      <c r="J27" s="4" t="str">
        <f t="shared" si="5"/>
        <v>-</v>
      </c>
      <c r="K27" s="4" t="str">
        <f t="shared" si="5"/>
        <v>-</v>
      </c>
      <c r="L27" s="4" t="str">
        <f t="shared" si="5"/>
        <v>-</v>
      </c>
      <c r="M27" s="4" t="str">
        <f t="shared" si="5"/>
        <v>-</v>
      </c>
      <c r="N27" s="4" t="str">
        <f t="shared" si="5"/>
        <v>-</v>
      </c>
      <c r="O27" s="19">
        <f>IFERROR(AVERAGE(C27:N27),"-")</f>
        <v>3.1133135244068987E-2</v>
      </c>
      <c r="V27" s="267"/>
    </row>
    <row r="28" spans="1:22">
      <c r="A28" s="577"/>
      <c r="B28" s="16" t="s">
        <v>43</v>
      </c>
      <c r="C28" s="4">
        <f t="shared" ref="C28:N28" si="6">IFERROR((C8/C9),"-")</f>
        <v>4.2016806722689074E-3</v>
      </c>
      <c r="D28" s="4">
        <f t="shared" si="6"/>
        <v>1.4705882352941178E-2</v>
      </c>
      <c r="E28" s="4">
        <f t="shared" ref="E28" si="7">IFERROR((E8/E12),"-")</f>
        <v>0</v>
      </c>
      <c r="F28" s="4">
        <f t="shared" si="6"/>
        <v>1.7241379310344827E-2</v>
      </c>
      <c r="G28" s="4">
        <f t="shared" si="6"/>
        <v>0</v>
      </c>
      <c r="H28" s="4" t="str">
        <f t="shared" si="6"/>
        <v>-</v>
      </c>
      <c r="I28" s="4" t="str">
        <f t="shared" si="6"/>
        <v>-</v>
      </c>
      <c r="J28" s="4" t="str">
        <f t="shared" si="6"/>
        <v>-</v>
      </c>
      <c r="K28" s="4" t="str">
        <f t="shared" si="6"/>
        <v>-</v>
      </c>
      <c r="L28" s="4" t="str">
        <f t="shared" si="6"/>
        <v>-</v>
      </c>
      <c r="M28" s="4" t="str">
        <f t="shared" si="6"/>
        <v>-</v>
      </c>
      <c r="N28" s="4" t="str">
        <f t="shared" si="6"/>
        <v>-</v>
      </c>
      <c r="O28" s="19">
        <f>IFERROR(AVERAGE(C28:N28),"-")</f>
        <v>7.2297884671109827E-3</v>
      </c>
    </row>
    <row r="29" spans="1:22" ht="13.6" customHeight="1" thickBot="1">
      <c r="A29" s="578"/>
      <c r="B29" s="77" t="s">
        <v>37</v>
      </c>
      <c r="C29" s="75">
        <f>SUM(C25:C28)</f>
        <v>0.99999999999999989</v>
      </c>
      <c r="D29" s="75">
        <f t="shared" ref="D29:N29" si="8">SUM(D25:D28)</f>
        <v>1.0000000000000002</v>
      </c>
      <c r="E29" s="75">
        <f t="shared" si="8"/>
        <v>1</v>
      </c>
      <c r="F29" s="75">
        <f t="shared" si="8"/>
        <v>1</v>
      </c>
      <c r="G29" s="75">
        <f t="shared" si="8"/>
        <v>1</v>
      </c>
      <c r="H29" s="75">
        <f t="shared" si="8"/>
        <v>0</v>
      </c>
      <c r="I29" s="75">
        <f t="shared" si="8"/>
        <v>0</v>
      </c>
      <c r="J29" s="75">
        <f t="shared" si="8"/>
        <v>0</v>
      </c>
      <c r="K29" s="75">
        <f t="shared" si="8"/>
        <v>0</v>
      </c>
      <c r="L29" s="75">
        <f t="shared" si="8"/>
        <v>0</v>
      </c>
      <c r="M29" s="75">
        <f t="shared" si="8"/>
        <v>0</v>
      </c>
      <c r="N29" s="75">
        <f t="shared" si="8"/>
        <v>0</v>
      </c>
      <c r="O29" s="76">
        <f>SUM(O25:O28)</f>
        <v>1.0000000000000002</v>
      </c>
    </row>
    <row r="30" spans="1:22" ht="13.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22" ht="13.6" customHeight="1">
      <c r="A31" s="576" t="s">
        <v>19</v>
      </c>
      <c r="B31" s="6"/>
      <c r="C31" s="11" t="s">
        <v>4</v>
      </c>
      <c r="D31" s="11" t="s">
        <v>5</v>
      </c>
      <c r="E31" s="11" t="s">
        <v>6</v>
      </c>
      <c r="F31" s="11" t="s">
        <v>7</v>
      </c>
      <c r="G31" s="11" t="s">
        <v>8</v>
      </c>
      <c r="H31" s="11" t="s">
        <v>9</v>
      </c>
      <c r="I31" s="11" t="s">
        <v>10</v>
      </c>
      <c r="J31" s="11" t="s">
        <v>11</v>
      </c>
      <c r="K31" s="11" t="s">
        <v>12</v>
      </c>
      <c r="L31" s="11" t="s">
        <v>13</v>
      </c>
      <c r="M31" s="11" t="s">
        <v>14</v>
      </c>
      <c r="N31" s="11" t="s">
        <v>15</v>
      </c>
      <c r="O31" s="12" t="s">
        <v>17</v>
      </c>
    </row>
    <row r="32" spans="1:22" ht="13.6" customHeight="1">
      <c r="A32" s="577"/>
      <c r="B32" s="16" t="s">
        <v>41</v>
      </c>
      <c r="C32" s="4">
        <f t="shared" ref="C32:D32" si="9">IFERROR((C12/C16),"-")</f>
        <v>0.90654205607476634</v>
      </c>
      <c r="D32" s="4">
        <f t="shared" si="9"/>
        <v>0.83720930232558133</v>
      </c>
      <c r="E32" s="4">
        <f t="shared" ref="E32" si="10">IFERROR((E12/E16),"-")</f>
        <v>0.76249999999999996</v>
      </c>
      <c r="F32" s="4">
        <f t="shared" ref="F32:N32" si="11">IFERROR((F12/F16),"-")</f>
        <v>0.81052631578947365</v>
      </c>
      <c r="G32" s="4">
        <f t="shared" si="11"/>
        <v>0</v>
      </c>
      <c r="H32" s="4" t="str">
        <f t="shared" si="11"/>
        <v>-</v>
      </c>
      <c r="I32" s="4" t="str">
        <f t="shared" si="11"/>
        <v>-</v>
      </c>
      <c r="J32" s="4" t="str">
        <f t="shared" si="11"/>
        <v>-</v>
      </c>
      <c r="K32" s="4" t="str">
        <f t="shared" si="11"/>
        <v>-</v>
      </c>
      <c r="L32" s="4" t="str">
        <f t="shared" si="11"/>
        <v>-</v>
      </c>
      <c r="M32" s="4" t="str">
        <f t="shared" si="11"/>
        <v>-</v>
      </c>
      <c r="N32" s="4" t="str">
        <f t="shared" si="11"/>
        <v>-</v>
      </c>
      <c r="O32" s="19">
        <f>IFERROR(AVERAGE(C32:N32),"-")</f>
        <v>0.66335553483796417</v>
      </c>
    </row>
    <row r="33" spans="1:16" ht="13.6" customHeight="1">
      <c r="A33" s="577"/>
      <c r="B33" s="16" t="s">
        <v>42</v>
      </c>
      <c r="C33" s="4">
        <f t="shared" ref="C33:D33" si="12">IFERROR((C13/C16),"-")</f>
        <v>1.8691588785046728E-2</v>
      </c>
      <c r="D33" s="4">
        <f t="shared" si="12"/>
        <v>6.9767441860465115E-2</v>
      </c>
      <c r="E33" s="4">
        <f t="shared" ref="E33" si="13">IFERROR((E13/E16),"-")</f>
        <v>0.13750000000000001</v>
      </c>
      <c r="F33" s="4">
        <f t="shared" ref="F33:N33" si="14">IFERROR((F13/F16),"-")</f>
        <v>0.11578947368421053</v>
      </c>
      <c r="G33" s="4">
        <f t="shared" si="14"/>
        <v>3.2786885245901641E-2</v>
      </c>
      <c r="H33" s="4" t="str">
        <f t="shared" si="14"/>
        <v>-</v>
      </c>
      <c r="I33" s="4" t="str">
        <f t="shared" si="14"/>
        <v>-</v>
      </c>
      <c r="J33" s="4" t="str">
        <f t="shared" si="14"/>
        <v>-</v>
      </c>
      <c r="K33" s="4" t="str">
        <f t="shared" si="14"/>
        <v>-</v>
      </c>
      <c r="L33" s="4" t="str">
        <f t="shared" si="14"/>
        <v>-</v>
      </c>
      <c r="M33" s="4" t="str">
        <f t="shared" si="14"/>
        <v>-</v>
      </c>
      <c r="N33" s="4" t="str">
        <f t="shared" si="14"/>
        <v>-</v>
      </c>
      <c r="O33" s="19">
        <f>IFERROR(AVERAGE(C33:N33),"-")</f>
        <v>7.4907077915124798E-2</v>
      </c>
    </row>
    <row r="34" spans="1:16" ht="13.6" customHeight="1">
      <c r="A34" s="577"/>
      <c r="B34" s="16" t="s">
        <v>70</v>
      </c>
      <c r="C34" s="4">
        <f t="shared" ref="C34:D34" si="15">IFERROR((C14/C16),"-")</f>
        <v>4.6728971962616821E-2</v>
      </c>
      <c r="D34" s="4">
        <f t="shared" si="15"/>
        <v>9.3023255813953487E-2</v>
      </c>
      <c r="E34" s="4">
        <f t="shared" ref="E34" si="16">IFERROR((E14/E16),"-")</f>
        <v>0.10000000000000002</v>
      </c>
      <c r="F34" s="4">
        <f t="shared" ref="F34:N34" si="17">IFERROR((F14/F16),"-")</f>
        <v>7.3684210526315783E-2</v>
      </c>
      <c r="G34" s="4">
        <f t="shared" si="17"/>
        <v>1.6393442622950821E-2</v>
      </c>
      <c r="H34" s="4" t="str">
        <f t="shared" si="17"/>
        <v>-</v>
      </c>
      <c r="I34" s="4" t="str">
        <f t="shared" si="17"/>
        <v>-</v>
      </c>
      <c r="J34" s="4" t="str">
        <f t="shared" si="17"/>
        <v>-</v>
      </c>
      <c r="K34" s="4" t="str">
        <f t="shared" si="17"/>
        <v>-</v>
      </c>
      <c r="L34" s="4" t="str">
        <f t="shared" si="17"/>
        <v>-</v>
      </c>
      <c r="M34" s="4" t="str">
        <f t="shared" si="17"/>
        <v>-</v>
      </c>
      <c r="N34" s="4" t="str">
        <f t="shared" si="17"/>
        <v>-</v>
      </c>
      <c r="O34" s="19">
        <f>IFERROR(AVERAGE(C34:N34),"-")</f>
        <v>6.5965976185167391E-2</v>
      </c>
    </row>
    <row r="35" spans="1:16" ht="13.6" customHeight="1">
      <c r="A35" s="577"/>
      <c r="B35" s="16" t="s">
        <v>43</v>
      </c>
      <c r="C35" s="4">
        <f t="shared" ref="C35:D35" si="18">IFERROR((C15/C16),"-")</f>
        <v>2.8037383177570093E-2</v>
      </c>
      <c r="D35" s="4">
        <f t="shared" si="18"/>
        <v>0</v>
      </c>
      <c r="E35" s="4">
        <f t="shared" ref="E35" si="19">IFERROR((E15/E16),"-")</f>
        <v>0</v>
      </c>
      <c r="F35" s="4">
        <f t="shared" ref="F35:N35" si="20">IFERROR((F15/F16),"-")</f>
        <v>0</v>
      </c>
      <c r="G35" s="4">
        <f t="shared" si="20"/>
        <v>0.95081967213114749</v>
      </c>
      <c r="H35" s="4" t="str">
        <f t="shared" si="20"/>
        <v>-</v>
      </c>
      <c r="I35" s="4" t="str">
        <f t="shared" si="20"/>
        <v>-</v>
      </c>
      <c r="J35" s="4" t="str">
        <f t="shared" si="20"/>
        <v>-</v>
      </c>
      <c r="K35" s="4" t="str">
        <f t="shared" si="20"/>
        <v>-</v>
      </c>
      <c r="L35" s="4" t="str">
        <f t="shared" si="20"/>
        <v>-</v>
      </c>
      <c r="M35" s="4" t="str">
        <f t="shared" si="20"/>
        <v>-</v>
      </c>
      <c r="N35" s="4" t="str">
        <f t="shared" si="20"/>
        <v>-</v>
      </c>
      <c r="O35" s="19">
        <f>IFERROR(AVERAGE(C35:N35),"-")</f>
        <v>0.19577141106174351</v>
      </c>
    </row>
    <row r="36" spans="1:16" ht="13.6" customHeight="1" thickBot="1">
      <c r="A36" s="578"/>
      <c r="B36" s="77" t="s">
        <v>37</v>
      </c>
      <c r="C36" s="75">
        <f>SUM(C32:C35)</f>
        <v>1</v>
      </c>
      <c r="D36" s="75">
        <f t="shared" ref="D36:N36" si="21">SUM(D32:D35)</f>
        <v>1</v>
      </c>
      <c r="E36" s="75">
        <f t="shared" ref="E36" si="22">SUM(E32:E35)</f>
        <v>0.99999999999999989</v>
      </c>
      <c r="F36" s="75">
        <f t="shared" si="21"/>
        <v>1</v>
      </c>
      <c r="G36" s="75">
        <f t="shared" si="21"/>
        <v>1</v>
      </c>
      <c r="H36" s="75">
        <f t="shared" si="21"/>
        <v>0</v>
      </c>
      <c r="I36" s="75">
        <f t="shared" si="21"/>
        <v>0</v>
      </c>
      <c r="J36" s="75">
        <f t="shared" si="21"/>
        <v>0</v>
      </c>
      <c r="K36" s="75">
        <f t="shared" si="21"/>
        <v>0</v>
      </c>
      <c r="L36" s="75">
        <f t="shared" si="21"/>
        <v>0</v>
      </c>
      <c r="M36" s="75">
        <f t="shared" si="21"/>
        <v>0</v>
      </c>
      <c r="N36" s="75">
        <f t="shared" si="21"/>
        <v>0</v>
      </c>
      <c r="O36" s="76">
        <f>SUM(O32:O35)</f>
        <v>0.99999999999999978</v>
      </c>
    </row>
    <row r="37" spans="1:16">
      <c r="A37" s="351"/>
      <c r="B37" s="352"/>
      <c r="C37" s="581" t="s">
        <v>205</v>
      </c>
      <c r="D37" s="582"/>
      <c r="E37" s="582"/>
      <c r="F37" s="583"/>
      <c r="G37" s="352"/>
      <c r="H37" s="352"/>
      <c r="I37" s="352"/>
      <c r="J37" s="352"/>
      <c r="K37" s="352"/>
      <c r="L37" s="352"/>
      <c r="M37" s="352"/>
      <c r="N37" s="352"/>
      <c r="O37" s="352"/>
      <c r="P37" s="352"/>
    </row>
    <row r="38" spans="1:16" ht="13.6" customHeight="1">
      <c r="A38" s="307"/>
      <c r="B38" s="6"/>
      <c r="C38" s="11" t="s">
        <v>4</v>
      </c>
      <c r="D38" s="11" t="s">
        <v>5</v>
      </c>
      <c r="E38" s="11" t="s">
        <v>6</v>
      </c>
      <c r="F38" s="11" t="s">
        <v>7</v>
      </c>
      <c r="G38" s="11" t="s">
        <v>8</v>
      </c>
      <c r="H38" s="11" t="s">
        <v>9</v>
      </c>
      <c r="I38" s="11" t="s">
        <v>10</v>
      </c>
      <c r="J38" s="11" t="s">
        <v>11</v>
      </c>
      <c r="K38" s="11" t="s">
        <v>12</v>
      </c>
      <c r="L38" s="11" t="s">
        <v>13</v>
      </c>
      <c r="M38" s="11" t="s">
        <v>14</v>
      </c>
      <c r="N38" s="11" t="s">
        <v>15</v>
      </c>
      <c r="O38" s="12" t="s">
        <v>17</v>
      </c>
    </row>
    <row r="39" spans="1:16">
      <c r="A39" s="589" t="s">
        <v>20</v>
      </c>
      <c r="B39" s="16" t="s">
        <v>41</v>
      </c>
      <c r="C39" s="4">
        <f t="shared" ref="C39:N39" si="23">IFERROR((C18/C22),"-")</f>
        <v>0.56521739130434778</v>
      </c>
      <c r="D39" s="4">
        <f t="shared" si="23"/>
        <v>0.65333333333333332</v>
      </c>
      <c r="E39" s="4">
        <f t="shared" si="23"/>
        <v>0.68493150684931503</v>
      </c>
      <c r="F39" s="4">
        <f t="shared" si="23"/>
        <v>0.72440944881889768</v>
      </c>
      <c r="G39" s="4">
        <f t="shared" si="23"/>
        <v>1.6853932584269662E-2</v>
      </c>
      <c r="H39" s="4" t="str">
        <f t="shared" si="23"/>
        <v>-</v>
      </c>
      <c r="I39" s="4" t="str">
        <f t="shared" si="23"/>
        <v>-</v>
      </c>
      <c r="J39" s="4" t="str">
        <f t="shared" si="23"/>
        <v>-</v>
      </c>
      <c r="K39" s="4" t="str">
        <f t="shared" si="23"/>
        <v>-</v>
      </c>
      <c r="L39" s="4" t="str">
        <f t="shared" si="23"/>
        <v>-</v>
      </c>
      <c r="M39" s="4" t="str">
        <f t="shared" si="23"/>
        <v>-</v>
      </c>
      <c r="N39" s="4" t="str">
        <f t="shared" si="23"/>
        <v>-</v>
      </c>
      <c r="O39" s="19">
        <f>IFERROR(AVERAGE(C39:N39),"-")</f>
        <v>0.52894912257803273</v>
      </c>
    </row>
    <row r="40" spans="1:16">
      <c r="A40" s="589"/>
      <c r="B40" s="16" t="s">
        <v>70</v>
      </c>
      <c r="C40" s="4">
        <f t="shared" ref="C40:N40" si="24">IFERROR((C19/C22),"-")</f>
        <v>0.36956521739130432</v>
      </c>
      <c r="D40" s="4">
        <f t="shared" si="24"/>
        <v>0.25333333333333335</v>
      </c>
      <c r="E40" s="4">
        <f t="shared" si="24"/>
        <v>0.24657534246575344</v>
      </c>
      <c r="F40" s="4">
        <f t="shared" si="24"/>
        <v>0.2125984251968504</v>
      </c>
      <c r="G40" s="4">
        <f t="shared" si="24"/>
        <v>7.8651685393258425E-2</v>
      </c>
      <c r="H40" s="4" t="str">
        <f t="shared" si="24"/>
        <v>-</v>
      </c>
      <c r="I40" s="4" t="str">
        <f t="shared" si="24"/>
        <v>-</v>
      </c>
      <c r="J40" s="4" t="str">
        <f t="shared" si="24"/>
        <v>-</v>
      </c>
      <c r="K40" s="4" t="str">
        <f t="shared" si="24"/>
        <v>-</v>
      </c>
      <c r="L40" s="4" t="str">
        <f t="shared" si="24"/>
        <v>-</v>
      </c>
      <c r="M40" s="4" t="str">
        <f t="shared" si="24"/>
        <v>-</v>
      </c>
      <c r="N40" s="4" t="str">
        <f t="shared" si="24"/>
        <v>-</v>
      </c>
      <c r="O40" s="19">
        <f>IFERROR(AVERAGE(C40:N40),"-")</f>
        <v>0.23214480075609994</v>
      </c>
    </row>
    <row r="41" spans="1:16">
      <c r="A41" s="589"/>
      <c r="B41" s="16" t="s">
        <v>42</v>
      </c>
      <c r="C41" s="4">
        <f t="shared" ref="C41:N41" si="25">IFERROR((C20/C22),"-")</f>
        <v>6.5217391304347824E-2</v>
      </c>
      <c r="D41" s="4">
        <f t="shared" si="25"/>
        <v>9.3333333333333351E-2</v>
      </c>
      <c r="E41" s="4">
        <f t="shared" si="25"/>
        <v>6.8493150684931517E-2</v>
      </c>
      <c r="F41" s="4">
        <f t="shared" si="25"/>
        <v>6.2992125984251968E-2</v>
      </c>
      <c r="G41" s="4">
        <f t="shared" si="25"/>
        <v>0.20786516853932585</v>
      </c>
      <c r="H41" s="4" t="str">
        <f t="shared" si="25"/>
        <v>-</v>
      </c>
      <c r="I41" s="4" t="str">
        <f t="shared" si="25"/>
        <v>-</v>
      </c>
      <c r="J41" s="4" t="str">
        <f t="shared" si="25"/>
        <v>-</v>
      </c>
      <c r="K41" s="4" t="str">
        <f t="shared" si="25"/>
        <v>-</v>
      </c>
      <c r="L41" s="4" t="str">
        <f t="shared" si="25"/>
        <v>-</v>
      </c>
      <c r="M41" s="4" t="str">
        <f t="shared" si="25"/>
        <v>-</v>
      </c>
      <c r="N41" s="4" t="str">
        <f t="shared" si="25"/>
        <v>-</v>
      </c>
      <c r="O41" s="19">
        <f>IFERROR(AVERAGE(C41:N41),"-")</f>
        <v>9.9580233969238097E-2</v>
      </c>
    </row>
    <row r="42" spans="1:16">
      <c r="A42" s="589"/>
      <c r="B42" s="16" t="s">
        <v>43</v>
      </c>
      <c r="C42" s="4">
        <f t="shared" ref="C42:N42" si="26">IFERROR((C21/C22),"-")</f>
        <v>0</v>
      </c>
      <c r="D42" s="4">
        <f t="shared" si="26"/>
        <v>0</v>
      </c>
      <c r="E42" s="4">
        <f t="shared" si="26"/>
        <v>0</v>
      </c>
      <c r="F42" s="4">
        <f t="shared" si="26"/>
        <v>0</v>
      </c>
      <c r="G42" s="4">
        <f t="shared" si="26"/>
        <v>0.6966292134831461</v>
      </c>
      <c r="H42" s="4" t="str">
        <f t="shared" si="26"/>
        <v>-</v>
      </c>
      <c r="I42" s="4" t="str">
        <f t="shared" si="26"/>
        <v>-</v>
      </c>
      <c r="J42" s="4" t="str">
        <f t="shared" si="26"/>
        <v>-</v>
      </c>
      <c r="K42" s="4" t="str">
        <f t="shared" si="26"/>
        <v>-</v>
      </c>
      <c r="L42" s="4" t="str">
        <f t="shared" si="26"/>
        <v>-</v>
      </c>
      <c r="M42" s="4" t="str">
        <f t="shared" si="26"/>
        <v>-</v>
      </c>
      <c r="N42" s="4" t="str">
        <f t="shared" si="26"/>
        <v>-</v>
      </c>
      <c r="O42" s="19">
        <f>IFERROR(AVERAGE(C42:N42),"-")</f>
        <v>0.13932584269662923</v>
      </c>
    </row>
    <row r="43" spans="1:16" ht="13.6" customHeight="1" thickBot="1">
      <c r="A43" s="590"/>
      <c r="B43" s="78" t="s">
        <v>37</v>
      </c>
      <c r="C43" s="79">
        <f t="shared" ref="C43:J43" si="27">SUM(C39:C42)</f>
        <v>0.99999999999999989</v>
      </c>
      <c r="D43" s="79">
        <f t="shared" si="27"/>
        <v>1</v>
      </c>
      <c r="E43" s="79">
        <f t="shared" si="27"/>
        <v>1</v>
      </c>
      <c r="F43" s="79">
        <f t="shared" si="27"/>
        <v>1</v>
      </c>
      <c r="G43" s="79">
        <f t="shared" si="27"/>
        <v>1</v>
      </c>
      <c r="H43" s="79">
        <f t="shared" si="27"/>
        <v>0</v>
      </c>
      <c r="I43" s="79">
        <f t="shared" si="27"/>
        <v>0</v>
      </c>
      <c r="J43" s="79">
        <f t="shared" si="27"/>
        <v>0</v>
      </c>
      <c r="K43" s="79">
        <f>SUM(K39:K42)</f>
        <v>0</v>
      </c>
      <c r="L43" s="79">
        <f>SUM(L39:L42)</f>
        <v>0</v>
      </c>
      <c r="M43" s="79">
        <f>SUM(M39:M42)</f>
        <v>0</v>
      </c>
      <c r="N43" s="79">
        <f>SUM(N39:N42)</f>
        <v>0</v>
      </c>
      <c r="O43" s="76">
        <f>IFERROR(SUM(O39:O42),"-")</f>
        <v>1</v>
      </c>
    </row>
    <row r="45" spans="1:16">
      <c r="A45" s="588" t="s">
        <v>45</v>
      </c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8"/>
    </row>
    <row r="62" spans="1:16"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6">
      <c r="A63" s="94"/>
      <c r="B63" s="92"/>
      <c r="C63" s="92"/>
      <c r="D63" s="92"/>
      <c r="E63" s="92"/>
      <c r="F63" s="92"/>
      <c r="G63" s="92"/>
      <c r="H63" s="92"/>
      <c r="I63" s="92"/>
      <c r="J63" s="46"/>
      <c r="K63" s="46"/>
      <c r="L63" s="46"/>
      <c r="M63" s="46"/>
      <c r="N63" s="46"/>
      <c r="O63" s="46"/>
      <c r="P63" s="95"/>
    </row>
    <row r="64" spans="1:16">
      <c r="A64" s="96"/>
      <c r="B64" s="93"/>
      <c r="C64" s="581" t="s">
        <v>205</v>
      </c>
      <c r="D64" s="582"/>
      <c r="E64" s="582"/>
      <c r="F64" s="583"/>
      <c r="G64" s="93"/>
      <c r="H64" s="93"/>
      <c r="I64" s="93"/>
      <c r="J64" s="46"/>
      <c r="K64" s="46"/>
      <c r="L64" s="46"/>
      <c r="M64" s="46"/>
      <c r="N64" s="46"/>
      <c r="O64" s="46"/>
      <c r="P64" s="95"/>
    </row>
    <row r="65" spans="1:20">
      <c r="A65" s="96"/>
      <c r="B65" s="93"/>
      <c r="C65" s="93"/>
      <c r="D65" s="93"/>
      <c r="E65" s="93"/>
      <c r="F65" s="93"/>
      <c r="G65" s="93"/>
      <c r="H65" s="93"/>
      <c r="I65" s="93"/>
      <c r="J65" s="46"/>
      <c r="K65" s="46"/>
      <c r="L65" s="46"/>
      <c r="M65" s="46"/>
      <c r="N65" s="46"/>
      <c r="O65" s="46"/>
      <c r="P65" s="95"/>
    </row>
    <row r="66" spans="1:20">
      <c r="A66" s="96"/>
      <c r="B66" s="93"/>
      <c r="C66" s="93"/>
      <c r="D66" s="93"/>
      <c r="E66" s="93"/>
      <c r="F66" s="93"/>
      <c r="G66" s="93"/>
      <c r="H66" s="93"/>
      <c r="I66" s="93"/>
      <c r="J66" s="46"/>
      <c r="K66" s="46"/>
      <c r="L66" s="46"/>
      <c r="M66" s="46"/>
      <c r="N66" s="46"/>
      <c r="O66" s="46"/>
      <c r="P66" s="95"/>
    </row>
    <row r="67" spans="1:20">
      <c r="A67" s="96"/>
      <c r="B67" s="93"/>
      <c r="C67" s="93"/>
      <c r="D67" s="93"/>
      <c r="E67" s="93"/>
      <c r="F67" s="93"/>
      <c r="G67" s="93"/>
      <c r="H67" s="93"/>
      <c r="I67" s="93"/>
      <c r="J67" s="46"/>
      <c r="K67" s="46"/>
      <c r="L67" s="46"/>
      <c r="M67" s="46"/>
      <c r="N67" s="46"/>
      <c r="O67" s="46"/>
      <c r="P67" s="95"/>
    </row>
    <row r="68" spans="1:20">
      <c r="A68" s="44"/>
      <c r="B68" s="44"/>
      <c r="C68" s="44"/>
      <c r="D68" s="44"/>
      <c r="E68" s="44"/>
      <c r="F68" s="44"/>
      <c r="G68" s="44"/>
      <c r="H68" s="44"/>
      <c r="I68" s="44"/>
      <c r="J68" s="46"/>
      <c r="K68" s="46"/>
      <c r="L68" s="46"/>
      <c r="M68" s="46"/>
      <c r="N68" s="46"/>
      <c r="O68" s="46"/>
      <c r="P68" s="95"/>
    </row>
    <row r="69" spans="1:20">
      <c r="A69" s="94"/>
      <c r="B69" s="92"/>
      <c r="C69" s="92"/>
      <c r="D69" s="92"/>
      <c r="E69" s="92"/>
      <c r="F69" s="92"/>
      <c r="G69" s="92"/>
      <c r="H69" s="92"/>
      <c r="I69" s="92"/>
      <c r="J69" s="46"/>
      <c r="K69" s="46"/>
      <c r="L69" s="46"/>
      <c r="M69" s="46"/>
      <c r="N69" s="46"/>
      <c r="O69" s="46"/>
      <c r="P69" s="95"/>
    </row>
    <row r="70" spans="1:20">
      <c r="A70" s="96"/>
      <c r="B70" s="93"/>
      <c r="C70" s="93"/>
      <c r="D70" s="93"/>
      <c r="E70" s="93"/>
      <c r="F70" s="93"/>
      <c r="G70" s="93"/>
      <c r="H70" s="93"/>
      <c r="I70" s="93"/>
      <c r="J70" s="46"/>
      <c r="K70" s="46"/>
      <c r="L70" s="46"/>
      <c r="M70" s="46"/>
      <c r="N70" s="46"/>
      <c r="O70" s="46"/>
      <c r="P70" s="95"/>
    </row>
    <row r="71" spans="1:20">
      <c r="A71" s="96"/>
      <c r="B71" s="93"/>
      <c r="C71" s="93"/>
      <c r="D71" s="93"/>
      <c r="E71" s="93"/>
      <c r="F71" s="93"/>
      <c r="G71" s="93"/>
      <c r="H71" s="93"/>
      <c r="I71" s="93"/>
      <c r="J71" s="46"/>
      <c r="K71" s="46"/>
      <c r="L71" s="46"/>
      <c r="M71" s="46"/>
      <c r="N71" s="46"/>
      <c r="O71" s="46"/>
      <c r="P71" s="95"/>
    </row>
    <row r="72" spans="1:20">
      <c r="A72" s="96"/>
      <c r="B72" s="93"/>
      <c r="C72" s="93"/>
      <c r="D72" s="93"/>
      <c r="E72" s="93"/>
      <c r="F72" s="93"/>
      <c r="G72" s="93"/>
      <c r="H72" s="93"/>
      <c r="I72" s="93"/>
      <c r="J72" s="46"/>
      <c r="K72" s="46"/>
      <c r="L72" s="46"/>
      <c r="M72" s="46"/>
      <c r="N72" s="46"/>
      <c r="O72" s="46"/>
      <c r="P72" s="95"/>
    </row>
    <row r="73" spans="1:20">
      <c r="A73" s="96"/>
      <c r="B73" s="93"/>
      <c r="C73" s="93"/>
      <c r="D73" s="93"/>
      <c r="E73" s="93"/>
      <c r="F73" s="93"/>
      <c r="G73" s="93"/>
      <c r="H73" s="93"/>
      <c r="I73" s="93"/>
      <c r="J73" s="46"/>
      <c r="K73" s="46"/>
      <c r="L73" s="46"/>
      <c r="M73" s="46"/>
      <c r="N73" s="46"/>
      <c r="O73" s="46"/>
      <c r="P73" s="95"/>
    </row>
    <row r="76" spans="1:20" ht="14.95" thickBot="1"/>
    <row r="77" spans="1:20" ht="14.95" thickBot="1">
      <c r="F77" s="451"/>
      <c r="G77" s="572" t="s">
        <v>260</v>
      </c>
      <c r="H77" s="572"/>
      <c r="I77" s="572"/>
      <c r="J77" s="572"/>
      <c r="K77" s="572"/>
      <c r="L77" s="572"/>
      <c r="M77" s="572"/>
      <c r="N77" s="572"/>
      <c r="O77" s="572"/>
      <c r="P77" s="572"/>
      <c r="Q77" s="572"/>
      <c r="R77" s="572"/>
      <c r="S77" s="572"/>
      <c r="T77" s="573"/>
    </row>
    <row r="78" spans="1:20" ht="14.95" thickBot="1">
      <c r="F78" s="563" t="s">
        <v>258</v>
      </c>
      <c r="G78" s="566" t="s">
        <v>254</v>
      </c>
      <c r="H78" s="566"/>
      <c r="I78" s="567"/>
      <c r="J78" s="450" t="s">
        <v>255</v>
      </c>
      <c r="K78" s="447"/>
      <c r="L78" s="566" t="s">
        <v>254</v>
      </c>
      <c r="M78" s="566"/>
      <c r="N78" s="567"/>
      <c r="O78" s="450" t="s">
        <v>255</v>
      </c>
      <c r="P78" s="448"/>
      <c r="Q78" s="566" t="s">
        <v>254</v>
      </c>
      <c r="R78" s="566"/>
      <c r="S78" s="567"/>
      <c r="T78" s="450" t="s">
        <v>255</v>
      </c>
    </row>
    <row r="79" spans="1:20">
      <c r="A79" s="568" t="s">
        <v>259</v>
      </c>
      <c r="B79" s="574" t="s">
        <v>211</v>
      </c>
      <c r="C79" s="574"/>
      <c r="D79" s="575"/>
      <c r="F79" s="564"/>
      <c r="G79" s="437"/>
      <c r="H79" s="422" t="s">
        <v>30</v>
      </c>
      <c r="I79" s="422" t="s">
        <v>257</v>
      </c>
      <c r="J79" s="421"/>
      <c r="K79" s="447"/>
      <c r="L79" s="437"/>
      <c r="M79" s="422" t="s">
        <v>33</v>
      </c>
      <c r="N79" s="422" t="s">
        <v>257</v>
      </c>
      <c r="O79" s="421"/>
      <c r="P79" s="448"/>
      <c r="Q79" s="437"/>
      <c r="R79" s="422" t="s">
        <v>57</v>
      </c>
      <c r="S79" s="422" t="s">
        <v>257</v>
      </c>
      <c r="T79" s="421"/>
    </row>
    <row r="80" spans="1:20">
      <c r="A80" s="569"/>
      <c r="B80" s="359" t="s">
        <v>208</v>
      </c>
      <c r="C80" s="441" t="s">
        <v>209</v>
      </c>
      <c r="D80" s="359" t="s">
        <v>210</v>
      </c>
      <c r="F80" s="564"/>
      <c r="G80" s="438" t="s">
        <v>73</v>
      </c>
      <c r="H80" s="467">
        <v>78</v>
      </c>
      <c r="I80" s="425">
        <f>H80/$H$84</f>
        <v>0.56521739130434778</v>
      </c>
      <c r="J80" s="426">
        <f>$J$84*I80</f>
        <v>51.999999999999993</v>
      </c>
      <c r="K80" s="447"/>
      <c r="L80" s="438" t="s">
        <v>73</v>
      </c>
      <c r="M80" s="424">
        <v>3</v>
      </c>
      <c r="N80" s="425">
        <f>M80/$M$84</f>
        <v>1.6853932584269662E-2</v>
      </c>
      <c r="O80" s="426">
        <f>$O$84*N80</f>
        <v>2.5280898876404492</v>
      </c>
      <c r="P80" s="448"/>
      <c r="Q80" s="438" t="s">
        <v>73</v>
      </c>
      <c r="R80" s="424">
        <v>0</v>
      </c>
      <c r="S80" s="425" t="e">
        <f>R80/$R$84</f>
        <v>#DIV/0!</v>
      </c>
      <c r="T80" s="426" t="e">
        <f>$T$84*S80</f>
        <v>#DIV/0!</v>
      </c>
    </row>
    <row r="81" spans="1:20">
      <c r="A81" s="569"/>
      <c r="B81" s="443">
        <v>120</v>
      </c>
      <c r="C81" s="435">
        <f>SUM(B81*C85/B85)</f>
        <v>140.90909090909091</v>
      </c>
      <c r="D81" s="358">
        <v>141</v>
      </c>
      <c r="F81" s="564"/>
      <c r="G81" s="439" t="s">
        <v>74</v>
      </c>
      <c r="H81" s="468">
        <v>51</v>
      </c>
      <c r="I81" s="425">
        <f t="shared" ref="I81:I84" si="28">H81/$H$84</f>
        <v>0.36956521739130432</v>
      </c>
      <c r="J81" s="429">
        <f t="shared" ref="J81:J83" si="29">$J$84*I81</f>
        <v>34</v>
      </c>
      <c r="K81" s="447"/>
      <c r="L81" s="439" t="s">
        <v>74</v>
      </c>
      <c r="M81" s="428">
        <v>14</v>
      </c>
      <c r="N81" s="425">
        <f t="shared" ref="N81:N83" si="30">M81/$M$84</f>
        <v>7.8651685393258425E-2</v>
      </c>
      <c r="O81" s="426">
        <f t="shared" ref="O81:O83" si="31">$O$84*N81</f>
        <v>11.797752808988763</v>
      </c>
      <c r="P81" s="448"/>
      <c r="Q81" s="439" t="s">
        <v>74</v>
      </c>
      <c r="R81" s="428">
        <v>0</v>
      </c>
      <c r="S81" s="425" t="e">
        <f t="shared" ref="S81:S83" si="32">R81/$R$84</f>
        <v>#DIV/0!</v>
      </c>
      <c r="T81" s="426" t="e">
        <f t="shared" ref="T81:T83" si="33">$T$84*S81</f>
        <v>#DIV/0!</v>
      </c>
    </row>
    <row r="82" spans="1:20">
      <c r="A82" s="569"/>
      <c r="B82" s="442">
        <v>6</v>
      </c>
      <c r="C82" s="435">
        <f>SUM(B82*C85/B85)</f>
        <v>7.0454545454545459</v>
      </c>
      <c r="D82" s="358">
        <v>7</v>
      </c>
      <c r="F82" s="564"/>
      <c r="G82" s="439" t="s">
        <v>75</v>
      </c>
      <c r="H82" s="469">
        <v>9</v>
      </c>
      <c r="I82" s="425">
        <f t="shared" si="28"/>
        <v>6.5217391304347824E-2</v>
      </c>
      <c r="J82" s="426">
        <f t="shared" si="29"/>
        <v>6</v>
      </c>
      <c r="K82" s="447"/>
      <c r="L82" s="439" t="s">
        <v>75</v>
      </c>
      <c r="M82" s="430">
        <v>37</v>
      </c>
      <c r="N82" s="425">
        <f t="shared" si="30"/>
        <v>0.20786516853932585</v>
      </c>
      <c r="O82" s="426">
        <f t="shared" si="31"/>
        <v>31.179775280898877</v>
      </c>
      <c r="P82" s="448"/>
      <c r="Q82" s="439" t="s">
        <v>75</v>
      </c>
      <c r="R82" s="430">
        <v>0</v>
      </c>
      <c r="S82" s="425" t="e">
        <f t="shared" si="32"/>
        <v>#DIV/0!</v>
      </c>
      <c r="T82" s="426" t="e">
        <f t="shared" si="33"/>
        <v>#DIV/0!</v>
      </c>
    </row>
    <row r="83" spans="1:20">
      <c r="A83" s="570"/>
      <c r="B83" s="445">
        <v>1</v>
      </c>
      <c r="C83" s="435">
        <f>SUM(B83*C85/B85)</f>
        <v>1.1742424242424243</v>
      </c>
      <c r="D83" s="358">
        <v>1</v>
      </c>
      <c r="F83" s="564"/>
      <c r="G83" s="439" t="s">
        <v>76</v>
      </c>
      <c r="H83" s="468">
        <v>0</v>
      </c>
      <c r="I83" s="425">
        <f t="shared" si="28"/>
        <v>0</v>
      </c>
      <c r="J83" s="429">
        <f t="shared" si="29"/>
        <v>0</v>
      </c>
      <c r="K83" s="447"/>
      <c r="L83" s="439" t="s">
        <v>76</v>
      </c>
      <c r="M83" s="428">
        <v>124</v>
      </c>
      <c r="N83" s="425">
        <f t="shared" si="30"/>
        <v>0.6966292134831461</v>
      </c>
      <c r="O83" s="426">
        <f t="shared" si="31"/>
        <v>104.49438202247191</v>
      </c>
      <c r="P83" s="448"/>
      <c r="Q83" s="439" t="s">
        <v>76</v>
      </c>
      <c r="R83" s="428">
        <v>0</v>
      </c>
      <c r="S83" s="425" t="e">
        <f t="shared" si="32"/>
        <v>#DIV/0!</v>
      </c>
      <c r="T83" s="426" t="e">
        <f t="shared" si="33"/>
        <v>#DIV/0!</v>
      </c>
    </row>
    <row r="84" spans="1:20">
      <c r="A84" s="570"/>
      <c r="B84" s="445">
        <v>5</v>
      </c>
      <c r="C84" s="435">
        <f>SUM(B84*C85/B85)</f>
        <v>5.8712121212121211</v>
      </c>
      <c r="D84" s="358">
        <v>6</v>
      </c>
      <c r="F84" s="564"/>
      <c r="G84" s="440" t="s">
        <v>253</v>
      </c>
      <c r="H84" s="470">
        <f t="shared" ref="H84" si="34">SUM(H80:H83)</f>
        <v>138</v>
      </c>
      <c r="I84" s="425">
        <f t="shared" si="28"/>
        <v>1</v>
      </c>
      <c r="J84" s="466">
        <v>92</v>
      </c>
      <c r="K84" s="447"/>
      <c r="L84" s="440" t="s">
        <v>253</v>
      </c>
      <c r="M84" s="432">
        <f t="shared" ref="M84" si="35">SUM(M80:M83)</f>
        <v>178</v>
      </c>
      <c r="N84" s="425">
        <f t="shared" ref="N84" si="36">M84/$H$84</f>
        <v>1.2898550724637681</v>
      </c>
      <c r="O84" s="433">
        <v>150</v>
      </c>
      <c r="P84" s="448"/>
      <c r="Q84" s="440" t="s">
        <v>253</v>
      </c>
      <c r="R84" s="432">
        <f t="shared" ref="R84" si="37">SUM(R80:R83)</f>
        <v>0</v>
      </c>
      <c r="S84" s="425">
        <f t="shared" ref="S84" si="38">R84/$H$84</f>
        <v>0</v>
      </c>
      <c r="T84" s="433">
        <v>0</v>
      </c>
    </row>
    <row r="85" spans="1:20" ht="14.95" thickBot="1">
      <c r="A85" s="571"/>
      <c r="B85" s="446">
        <f t="shared" ref="B85" si="39">SUM(B81:B84)</f>
        <v>132</v>
      </c>
      <c r="C85" s="435">
        <v>155</v>
      </c>
      <c r="D85" s="358">
        <f>SUM(D81:D84)</f>
        <v>155</v>
      </c>
      <c r="F85" s="564"/>
      <c r="G85" s="555" t="s">
        <v>256</v>
      </c>
      <c r="H85" s="555"/>
      <c r="I85" s="555"/>
      <c r="J85" s="556"/>
      <c r="K85" s="447"/>
      <c r="L85" s="555" t="s">
        <v>256</v>
      </c>
      <c r="M85" s="555"/>
      <c r="N85" s="555"/>
      <c r="O85" s="556"/>
      <c r="Q85" s="560" t="s">
        <v>256</v>
      </c>
      <c r="R85" s="555"/>
      <c r="S85" s="555"/>
      <c r="T85" s="556"/>
    </row>
    <row r="86" spans="1:20">
      <c r="B86" s="444"/>
      <c r="F86" s="564"/>
      <c r="Q86" s="449"/>
    </row>
    <row r="87" spans="1:20">
      <c r="F87" s="564"/>
      <c r="G87" s="558" t="s">
        <v>254</v>
      </c>
      <c r="H87" s="558"/>
      <c r="I87" s="559"/>
      <c r="J87" s="434" t="s">
        <v>255</v>
      </c>
      <c r="L87" s="557" t="s">
        <v>254</v>
      </c>
      <c r="M87" s="558"/>
      <c r="N87" s="559"/>
      <c r="O87" s="434" t="s">
        <v>255</v>
      </c>
      <c r="P87" s="436"/>
      <c r="Q87" s="558" t="s">
        <v>254</v>
      </c>
      <c r="R87" s="558"/>
      <c r="S87" s="559"/>
      <c r="T87" s="434" t="s">
        <v>255</v>
      </c>
    </row>
    <row r="88" spans="1:20">
      <c r="F88" s="564"/>
      <c r="G88" s="437"/>
      <c r="H88" s="422" t="s">
        <v>31</v>
      </c>
      <c r="I88" s="422" t="s">
        <v>257</v>
      </c>
      <c r="J88" s="421"/>
      <c r="L88" s="421"/>
      <c r="M88" s="422" t="s">
        <v>54</v>
      </c>
      <c r="N88" s="422" t="s">
        <v>257</v>
      </c>
      <c r="O88" s="421"/>
      <c r="P88" s="436"/>
      <c r="Q88" s="437"/>
      <c r="R88" s="422" t="s">
        <v>58</v>
      </c>
      <c r="S88" s="422" t="s">
        <v>257</v>
      </c>
      <c r="T88" s="421"/>
    </row>
    <row r="89" spans="1:20">
      <c r="F89" s="564"/>
      <c r="G89" s="438" t="s">
        <v>73</v>
      </c>
      <c r="H89" s="471">
        <v>49</v>
      </c>
      <c r="I89" s="425">
        <f>H89/$H$93</f>
        <v>0.65333333333333332</v>
      </c>
      <c r="J89" s="426">
        <f>$J$93*I89</f>
        <v>37.893333333333331</v>
      </c>
      <c r="L89" s="423" t="s">
        <v>73</v>
      </c>
      <c r="M89" s="424">
        <v>0</v>
      </c>
      <c r="N89" s="425" t="e">
        <f>M89/$M$93</f>
        <v>#DIV/0!</v>
      </c>
      <c r="O89" s="426" t="e">
        <f>$O$93*N89</f>
        <v>#DIV/0!</v>
      </c>
      <c r="P89" s="436"/>
      <c r="Q89" s="438" t="s">
        <v>73</v>
      </c>
      <c r="R89" s="424">
        <v>0</v>
      </c>
      <c r="S89" s="425" t="e">
        <f>R89/$R$93</f>
        <v>#DIV/0!</v>
      </c>
      <c r="T89" s="426" t="e">
        <f>$T$93*S89</f>
        <v>#DIV/0!</v>
      </c>
    </row>
    <row r="90" spans="1:20">
      <c r="F90" s="564"/>
      <c r="G90" s="439" t="s">
        <v>74</v>
      </c>
      <c r="H90" s="472">
        <v>19</v>
      </c>
      <c r="I90" s="425">
        <f t="shared" ref="I90:I93" si="40">H90/$H$93</f>
        <v>0.25333333333333335</v>
      </c>
      <c r="J90" s="426">
        <f t="shared" ref="J90:J92" si="41">$J$93*I90</f>
        <v>14.693333333333335</v>
      </c>
      <c r="L90" s="427" t="s">
        <v>74</v>
      </c>
      <c r="M90" s="428">
        <v>0</v>
      </c>
      <c r="N90" s="425" t="e">
        <f t="shared" ref="N90:N92" si="42">M90/$M$93</f>
        <v>#DIV/0!</v>
      </c>
      <c r="O90" s="426" t="e">
        <f t="shared" ref="O90:O92" si="43">$O$93*N90</f>
        <v>#DIV/0!</v>
      </c>
      <c r="P90" s="436"/>
      <c r="Q90" s="439" t="s">
        <v>74</v>
      </c>
      <c r="R90" s="428">
        <v>0</v>
      </c>
      <c r="S90" s="425" t="e">
        <f t="shared" ref="S90:S92" si="44">R90/$R$93</f>
        <v>#DIV/0!</v>
      </c>
      <c r="T90" s="426" t="e">
        <f t="shared" ref="T90:T92" si="45">$T$93*S90</f>
        <v>#DIV/0!</v>
      </c>
    </row>
    <row r="91" spans="1:20">
      <c r="F91" s="564"/>
      <c r="G91" s="439" t="s">
        <v>75</v>
      </c>
      <c r="H91" s="473">
        <v>7</v>
      </c>
      <c r="I91" s="425">
        <f t="shared" si="40"/>
        <v>9.3333333333333338E-2</v>
      </c>
      <c r="J91" s="426">
        <f t="shared" si="41"/>
        <v>5.413333333333334</v>
      </c>
      <c r="L91" s="427" t="s">
        <v>75</v>
      </c>
      <c r="M91" s="430">
        <v>0</v>
      </c>
      <c r="N91" s="425" t="e">
        <f t="shared" si="42"/>
        <v>#DIV/0!</v>
      </c>
      <c r="O91" s="426" t="e">
        <f t="shared" si="43"/>
        <v>#DIV/0!</v>
      </c>
      <c r="P91" s="436"/>
      <c r="Q91" s="439" t="s">
        <v>75</v>
      </c>
      <c r="R91" s="430">
        <v>0</v>
      </c>
      <c r="S91" s="425" t="e">
        <f t="shared" si="44"/>
        <v>#DIV/0!</v>
      </c>
      <c r="T91" s="426" t="e">
        <f t="shared" si="45"/>
        <v>#DIV/0!</v>
      </c>
    </row>
    <row r="92" spans="1:20">
      <c r="F92" s="564"/>
      <c r="G92" s="439" t="s">
        <v>76</v>
      </c>
      <c r="H92" s="472">
        <v>0</v>
      </c>
      <c r="I92" s="425">
        <f t="shared" si="40"/>
        <v>0</v>
      </c>
      <c r="J92" s="426">
        <f t="shared" si="41"/>
        <v>0</v>
      </c>
      <c r="L92" s="427" t="s">
        <v>76</v>
      </c>
      <c r="M92" s="428">
        <v>0</v>
      </c>
      <c r="N92" s="425" t="e">
        <f t="shared" si="42"/>
        <v>#DIV/0!</v>
      </c>
      <c r="O92" s="426" t="e">
        <f t="shared" si="43"/>
        <v>#DIV/0!</v>
      </c>
      <c r="P92" s="436"/>
      <c r="Q92" s="439" t="s">
        <v>76</v>
      </c>
      <c r="R92" s="428">
        <v>0</v>
      </c>
      <c r="S92" s="425" t="e">
        <f t="shared" si="44"/>
        <v>#DIV/0!</v>
      </c>
      <c r="T92" s="426" t="e">
        <f t="shared" si="45"/>
        <v>#DIV/0!</v>
      </c>
    </row>
    <row r="93" spans="1:20">
      <c r="F93" s="564"/>
      <c r="G93" s="440" t="s">
        <v>253</v>
      </c>
      <c r="H93" s="432">
        <f>SUM(H89:H92)</f>
        <v>75</v>
      </c>
      <c r="I93" s="425">
        <f t="shared" si="40"/>
        <v>1</v>
      </c>
      <c r="J93" s="465">
        <v>58</v>
      </c>
      <c r="L93" s="431" t="s">
        <v>253</v>
      </c>
      <c r="M93" s="432">
        <f t="shared" ref="M93" si="46">SUM(M89:M92)</f>
        <v>0</v>
      </c>
      <c r="N93" s="425">
        <f t="shared" ref="N93" si="47">M93/$H$93</f>
        <v>0</v>
      </c>
      <c r="O93" s="433">
        <v>0</v>
      </c>
      <c r="P93" s="436"/>
      <c r="Q93" s="440" t="s">
        <v>253</v>
      </c>
      <c r="R93" s="432">
        <f t="shared" ref="R93" si="48">SUM(R89:R92)</f>
        <v>0</v>
      </c>
      <c r="S93" s="425">
        <f t="shared" ref="S93" si="49">R93/$H$93</f>
        <v>0</v>
      </c>
      <c r="T93" s="433">
        <v>0</v>
      </c>
    </row>
    <row r="94" spans="1:20">
      <c r="F94" s="564"/>
      <c r="G94" s="555" t="s">
        <v>256</v>
      </c>
      <c r="H94" s="555"/>
      <c r="I94" s="555"/>
      <c r="J94" s="556"/>
      <c r="L94" s="560" t="s">
        <v>256</v>
      </c>
      <c r="M94" s="555"/>
      <c r="N94" s="555"/>
      <c r="O94" s="556"/>
      <c r="Q94" s="560" t="s">
        <v>256</v>
      </c>
      <c r="R94" s="555"/>
      <c r="S94" s="555"/>
      <c r="T94" s="556"/>
    </row>
    <row r="95" spans="1:20">
      <c r="F95" s="564"/>
    </row>
    <row r="96" spans="1:20">
      <c r="F96" s="564"/>
      <c r="G96" s="558" t="s">
        <v>254</v>
      </c>
      <c r="H96" s="558"/>
      <c r="I96" s="559"/>
      <c r="J96" s="434" t="s">
        <v>255</v>
      </c>
      <c r="L96" s="557" t="s">
        <v>254</v>
      </c>
      <c r="M96" s="558"/>
      <c r="N96" s="559"/>
      <c r="O96" s="434" t="s">
        <v>255</v>
      </c>
      <c r="Q96" s="557" t="s">
        <v>254</v>
      </c>
      <c r="R96" s="558"/>
      <c r="S96" s="559"/>
      <c r="T96" s="434" t="s">
        <v>255</v>
      </c>
    </row>
    <row r="97" spans="6:20">
      <c r="F97" s="564"/>
      <c r="G97" s="437"/>
      <c r="H97" s="422" t="s">
        <v>2</v>
      </c>
      <c r="I97" s="422" t="s">
        <v>257</v>
      </c>
      <c r="J97" s="421"/>
      <c r="L97" s="421"/>
      <c r="M97" s="422" t="s">
        <v>55</v>
      </c>
      <c r="N97" s="422" t="s">
        <v>257</v>
      </c>
      <c r="O97" s="421"/>
      <c r="Q97" s="421"/>
      <c r="R97" s="422" t="s">
        <v>59</v>
      </c>
      <c r="S97" s="422" t="s">
        <v>257</v>
      </c>
      <c r="T97" s="421"/>
    </row>
    <row r="98" spans="6:20">
      <c r="F98" s="564"/>
      <c r="G98" s="438" t="s">
        <v>73</v>
      </c>
      <c r="H98" s="471">
        <v>50</v>
      </c>
      <c r="I98" s="425">
        <f>H98/$H$102</f>
        <v>0.68493150684931503</v>
      </c>
      <c r="J98" s="426">
        <f>$J$102*I98</f>
        <v>43.150684931506845</v>
      </c>
      <c r="L98" s="423" t="s">
        <v>73</v>
      </c>
      <c r="M98" s="424">
        <v>0</v>
      </c>
      <c r="N98" s="425" t="e">
        <f>M98/$M$102</f>
        <v>#DIV/0!</v>
      </c>
      <c r="O98" s="426" t="e">
        <f>$O$102*N98</f>
        <v>#DIV/0!</v>
      </c>
      <c r="Q98" s="423" t="s">
        <v>73</v>
      </c>
      <c r="R98" s="424">
        <v>0</v>
      </c>
      <c r="S98" s="425" t="e">
        <f>R98/$R$102</f>
        <v>#DIV/0!</v>
      </c>
      <c r="T98" s="426" t="e">
        <f>$T$102*S98</f>
        <v>#DIV/0!</v>
      </c>
    </row>
    <row r="99" spans="6:20">
      <c r="F99" s="564"/>
      <c r="G99" s="439" t="s">
        <v>74</v>
      </c>
      <c r="H99" s="472">
        <v>18</v>
      </c>
      <c r="I99" s="425">
        <f>H99/$H$102</f>
        <v>0.24657534246575341</v>
      </c>
      <c r="J99" s="426">
        <f t="shared" ref="J99:J101" si="50">$J$102*I99</f>
        <v>15.534246575342465</v>
      </c>
      <c r="L99" s="427" t="s">
        <v>74</v>
      </c>
      <c r="M99" s="428">
        <v>0</v>
      </c>
      <c r="N99" s="425" t="e">
        <f t="shared" ref="N99:N101" si="51">M99/$M$102</f>
        <v>#DIV/0!</v>
      </c>
      <c r="O99" s="426" t="e">
        <f t="shared" ref="O99:O101" si="52">$O$102*N99</f>
        <v>#DIV/0!</v>
      </c>
      <c r="Q99" s="427" t="s">
        <v>74</v>
      </c>
      <c r="R99" s="428">
        <v>0</v>
      </c>
      <c r="S99" s="425" t="e">
        <f t="shared" ref="S99:S101" si="53">R99/$R$102</f>
        <v>#DIV/0!</v>
      </c>
      <c r="T99" s="426" t="e">
        <f t="shared" ref="T99:T101" si="54">$T$102*S99</f>
        <v>#DIV/0!</v>
      </c>
    </row>
    <row r="100" spans="6:20">
      <c r="F100" s="564"/>
      <c r="G100" s="439" t="s">
        <v>75</v>
      </c>
      <c r="H100" s="473">
        <v>5</v>
      </c>
      <c r="I100" s="425">
        <f t="shared" ref="I100:I101" si="55">H100/$H$102</f>
        <v>6.8493150684931503E-2</v>
      </c>
      <c r="J100" s="426">
        <f t="shared" si="50"/>
        <v>4.3150684931506849</v>
      </c>
      <c r="L100" s="427" t="s">
        <v>75</v>
      </c>
      <c r="M100" s="430">
        <v>0</v>
      </c>
      <c r="N100" s="425" t="e">
        <f t="shared" si="51"/>
        <v>#DIV/0!</v>
      </c>
      <c r="O100" s="426" t="e">
        <f t="shared" si="52"/>
        <v>#DIV/0!</v>
      </c>
      <c r="Q100" s="427" t="s">
        <v>75</v>
      </c>
      <c r="R100" s="430">
        <v>0</v>
      </c>
      <c r="S100" s="425" t="e">
        <f t="shared" si="53"/>
        <v>#DIV/0!</v>
      </c>
      <c r="T100" s="426" t="e">
        <f t="shared" si="54"/>
        <v>#DIV/0!</v>
      </c>
    </row>
    <row r="101" spans="6:20">
      <c r="F101" s="564"/>
      <c r="G101" s="439" t="s">
        <v>76</v>
      </c>
      <c r="H101" s="472">
        <v>0</v>
      </c>
      <c r="I101" s="425">
        <f t="shared" si="55"/>
        <v>0</v>
      </c>
      <c r="J101" s="426">
        <f t="shared" si="50"/>
        <v>0</v>
      </c>
      <c r="L101" s="427" t="s">
        <v>76</v>
      </c>
      <c r="M101" s="428">
        <v>0</v>
      </c>
      <c r="N101" s="425" t="e">
        <f t="shared" si="51"/>
        <v>#DIV/0!</v>
      </c>
      <c r="O101" s="426" t="e">
        <f t="shared" si="52"/>
        <v>#DIV/0!</v>
      </c>
      <c r="Q101" s="427" t="s">
        <v>76</v>
      </c>
      <c r="R101" s="428">
        <v>0</v>
      </c>
      <c r="S101" s="425" t="e">
        <f t="shared" si="53"/>
        <v>#DIV/0!</v>
      </c>
      <c r="T101" s="426" t="e">
        <f t="shared" si="54"/>
        <v>#DIV/0!</v>
      </c>
    </row>
    <row r="102" spans="6:20">
      <c r="F102" s="564"/>
      <c r="G102" s="440" t="s">
        <v>253</v>
      </c>
      <c r="H102" s="432">
        <f t="shared" ref="H102" si="56">SUM(H98:H101)</f>
        <v>73</v>
      </c>
      <c r="I102" s="425">
        <f t="shared" ref="I102" si="57">H102/$H$93</f>
        <v>0.97333333333333338</v>
      </c>
      <c r="J102" s="465">
        <v>63</v>
      </c>
      <c r="L102" s="431" t="s">
        <v>253</v>
      </c>
      <c r="M102" s="432">
        <f t="shared" ref="M102" si="58">SUM(M98:M101)</f>
        <v>0</v>
      </c>
      <c r="N102" s="425">
        <f t="shared" ref="N102" si="59">M102/$H$93</f>
        <v>0</v>
      </c>
      <c r="O102" s="433">
        <v>0</v>
      </c>
      <c r="Q102" s="431" t="s">
        <v>253</v>
      </c>
      <c r="R102" s="432">
        <f t="shared" ref="R102" si="60">SUM(R98:R101)</f>
        <v>0</v>
      </c>
      <c r="S102" s="425">
        <f t="shared" ref="S102" si="61">R102/$H$93</f>
        <v>0</v>
      </c>
      <c r="T102" s="433">
        <v>0</v>
      </c>
    </row>
    <row r="103" spans="6:20">
      <c r="F103" s="564"/>
      <c r="G103" s="555" t="s">
        <v>256</v>
      </c>
      <c r="H103" s="555"/>
      <c r="I103" s="555"/>
      <c r="J103" s="556"/>
      <c r="L103" s="560" t="s">
        <v>256</v>
      </c>
      <c r="M103" s="555"/>
      <c r="N103" s="555"/>
      <c r="O103" s="556"/>
      <c r="Q103" s="560" t="s">
        <v>256</v>
      </c>
      <c r="R103" s="555"/>
      <c r="S103" s="555"/>
      <c r="T103" s="556"/>
    </row>
    <row r="104" spans="6:20">
      <c r="F104" s="564"/>
    </row>
    <row r="105" spans="6:20">
      <c r="F105" s="564"/>
      <c r="G105" s="558" t="s">
        <v>254</v>
      </c>
      <c r="H105" s="558"/>
      <c r="I105" s="559"/>
      <c r="J105" s="434" t="s">
        <v>255</v>
      </c>
      <c r="K105" s="447"/>
      <c r="L105" s="558" t="s">
        <v>254</v>
      </c>
      <c r="M105" s="558"/>
      <c r="N105" s="559"/>
      <c r="O105" s="434" t="s">
        <v>255</v>
      </c>
      <c r="P105" s="448"/>
      <c r="Q105" s="558" t="s">
        <v>254</v>
      </c>
      <c r="R105" s="558"/>
      <c r="S105" s="559"/>
      <c r="T105" s="434" t="s">
        <v>255</v>
      </c>
    </row>
    <row r="106" spans="6:20">
      <c r="F106" s="564"/>
      <c r="G106" s="437"/>
      <c r="H106" s="422" t="s">
        <v>32</v>
      </c>
      <c r="I106" s="422" t="s">
        <v>257</v>
      </c>
      <c r="J106" s="421"/>
      <c r="K106" s="447"/>
      <c r="L106" s="437"/>
      <c r="M106" s="422" t="s">
        <v>56</v>
      </c>
      <c r="N106" s="422" t="s">
        <v>257</v>
      </c>
      <c r="O106" s="421"/>
      <c r="P106" s="448"/>
      <c r="Q106" s="437"/>
      <c r="R106" s="422" t="s">
        <v>60</v>
      </c>
      <c r="S106" s="422" t="s">
        <v>257</v>
      </c>
      <c r="T106" s="421"/>
    </row>
    <row r="107" spans="6:20">
      <c r="F107" s="564"/>
      <c r="G107" s="438" t="s">
        <v>73</v>
      </c>
      <c r="H107" s="424">
        <v>92</v>
      </c>
      <c r="I107" s="425">
        <f>H107/$H$111</f>
        <v>0.72440944881889768</v>
      </c>
      <c r="J107" s="426">
        <f>$J$111*I107</f>
        <v>72.440944881889763</v>
      </c>
      <c r="K107" s="447"/>
      <c r="L107" s="438" t="s">
        <v>73</v>
      </c>
      <c r="M107" s="424">
        <v>0</v>
      </c>
      <c r="N107" s="425" t="e">
        <f>M107/$M$111</f>
        <v>#DIV/0!</v>
      </c>
      <c r="O107" s="426" t="e">
        <f>$O$111*N107</f>
        <v>#DIV/0!</v>
      </c>
      <c r="P107" s="448"/>
      <c r="Q107" s="438" t="s">
        <v>73</v>
      </c>
      <c r="R107" s="424">
        <v>0</v>
      </c>
      <c r="S107" s="425" t="e">
        <f>R107/$R$111</f>
        <v>#DIV/0!</v>
      </c>
      <c r="T107" s="426" t="e">
        <f>$T$111*S107</f>
        <v>#DIV/0!</v>
      </c>
    </row>
    <row r="108" spans="6:20">
      <c r="F108" s="564"/>
      <c r="G108" s="439" t="s">
        <v>74</v>
      </c>
      <c r="H108" s="428">
        <v>27</v>
      </c>
      <c r="I108" s="425">
        <f t="shared" ref="I108:I111" si="62">H108/$H$111</f>
        <v>0.2125984251968504</v>
      </c>
      <c r="J108" s="426">
        <f t="shared" ref="J108:J110" si="63">$J$111*I108</f>
        <v>21.259842519685041</v>
      </c>
      <c r="K108" s="447"/>
      <c r="L108" s="439" t="s">
        <v>74</v>
      </c>
      <c r="M108" s="428">
        <v>0</v>
      </c>
      <c r="N108" s="425" t="e">
        <f t="shared" ref="N108:N110" si="64">M108/$M$111</f>
        <v>#DIV/0!</v>
      </c>
      <c r="O108" s="426" t="e">
        <f t="shared" ref="O108:O110" si="65">$O$111*N108</f>
        <v>#DIV/0!</v>
      </c>
      <c r="P108" s="448"/>
      <c r="Q108" s="439" t="s">
        <v>74</v>
      </c>
      <c r="R108" s="428">
        <v>0</v>
      </c>
      <c r="S108" s="425" t="e">
        <f t="shared" ref="S108:S110" si="66">R108/$R$111</f>
        <v>#DIV/0!</v>
      </c>
      <c r="T108" s="426" t="e">
        <f t="shared" ref="T108:T110" si="67">$T$111*S108</f>
        <v>#DIV/0!</v>
      </c>
    </row>
    <row r="109" spans="6:20">
      <c r="F109" s="564"/>
      <c r="G109" s="439" t="s">
        <v>75</v>
      </c>
      <c r="H109" s="430">
        <v>8</v>
      </c>
      <c r="I109" s="425">
        <f t="shared" si="62"/>
        <v>6.2992125984251968E-2</v>
      </c>
      <c r="J109" s="426">
        <f t="shared" si="63"/>
        <v>6.2992125984251963</v>
      </c>
      <c r="K109" s="447"/>
      <c r="L109" s="439" t="s">
        <v>75</v>
      </c>
      <c r="M109" s="430">
        <v>0</v>
      </c>
      <c r="N109" s="425" t="e">
        <f t="shared" si="64"/>
        <v>#DIV/0!</v>
      </c>
      <c r="O109" s="426" t="e">
        <f t="shared" si="65"/>
        <v>#DIV/0!</v>
      </c>
      <c r="P109" s="448"/>
      <c r="Q109" s="439" t="s">
        <v>75</v>
      </c>
      <c r="R109" s="430">
        <v>0</v>
      </c>
      <c r="S109" s="425" t="e">
        <f t="shared" si="66"/>
        <v>#DIV/0!</v>
      </c>
      <c r="T109" s="426" t="e">
        <f t="shared" si="67"/>
        <v>#DIV/0!</v>
      </c>
    </row>
    <row r="110" spans="6:20">
      <c r="F110" s="564"/>
      <c r="G110" s="439" t="s">
        <v>76</v>
      </c>
      <c r="H110" s="428">
        <v>0</v>
      </c>
      <c r="I110" s="425">
        <f t="shared" si="62"/>
        <v>0</v>
      </c>
      <c r="J110" s="426">
        <f t="shared" si="63"/>
        <v>0</v>
      </c>
      <c r="K110" s="447"/>
      <c r="L110" s="439" t="s">
        <v>76</v>
      </c>
      <c r="M110" s="428">
        <v>0</v>
      </c>
      <c r="N110" s="425" t="e">
        <f t="shared" si="64"/>
        <v>#DIV/0!</v>
      </c>
      <c r="O110" s="426" t="e">
        <f t="shared" si="65"/>
        <v>#DIV/0!</v>
      </c>
      <c r="P110" s="448"/>
      <c r="Q110" s="439" t="s">
        <v>76</v>
      </c>
      <c r="R110" s="428">
        <v>0</v>
      </c>
      <c r="S110" s="425" t="e">
        <f t="shared" si="66"/>
        <v>#DIV/0!</v>
      </c>
      <c r="T110" s="426" t="e">
        <f t="shared" si="67"/>
        <v>#DIV/0!</v>
      </c>
    </row>
    <row r="111" spans="6:20">
      <c r="F111" s="564"/>
      <c r="G111" s="440" t="s">
        <v>253</v>
      </c>
      <c r="H111" s="432">
        <f t="shared" ref="H111" si="68">SUM(H107:H110)</f>
        <v>127</v>
      </c>
      <c r="I111" s="425">
        <f t="shared" si="62"/>
        <v>1</v>
      </c>
      <c r="J111" s="426">
        <v>100</v>
      </c>
      <c r="K111" s="447"/>
      <c r="L111" s="440" t="s">
        <v>253</v>
      </c>
      <c r="M111" s="432">
        <f t="shared" ref="M111" si="69">SUM(M107:M110)</f>
        <v>0</v>
      </c>
      <c r="N111" s="425">
        <f t="shared" ref="N111" si="70">M111/$H$111</f>
        <v>0</v>
      </c>
      <c r="O111" s="426">
        <v>0</v>
      </c>
      <c r="P111" s="448"/>
      <c r="Q111" s="440" t="s">
        <v>253</v>
      </c>
      <c r="R111" s="432">
        <f t="shared" ref="R111" si="71">SUM(R107:R110)</f>
        <v>0</v>
      </c>
      <c r="S111" s="425">
        <f t="shared" ref="S111" si="72">R111/$H$111</f>
        <v>0</v>
      </c>
      <c r="T111" s="426">
        <v>0</v>
      </c>
    </row>
    <row r="112" spans="6:20" ht="14.95" thickBot="1">
      <c r="F112" s="565"/>
      <c r="G112" s="555" t="s">
        <v>256</v>
      </c>
      <c r="H112" s="555"/>
      <c r="I112" s="555"/>
      <c r="J112" s="556"/>
      <c r="K112" s="447"/>
      <c r="L112" s="555" t="s">
        <v>256</v>
      </c>
      <c r="M112" s="555"/>
      <c r="N112" s="555"/>
      <c r="O112" s="556"/>
      <c r="P112" s="448"/>
      <c r="Q112" s="555" t="s">
        <v>256</v>
      </c>
      <c r="R112" s="555"/>
      <c r="S112" s="555"/>
      <c r="T112" s="556"/>
    </row>
    <row r="114" spans="6:20" ht="14.95" thickBot="1"/>
    <row r="115" spans="6:20" ht="14.95" thickBot="1">
      <c r="F115" s="451"/>
      <c r="G115" s="561" t="s">
        <v>261</v>
      </c>
      <c r="H115" s="561"/>
      <c r="I115" s="561"/>
      <c r="J115" s="561"/>
      <c r="K115" s="561"/>
      <c r="L115" s="561"/>
      <c r="M115" s="561"/>
      <c r="N115" s="561"/>
      <c r="O115" s="561"/>
      <c r="P115" s="561"/>
      <c r="Q115" s="561"/>
      <c r="R115" s="561"/>
      <c r="S115" s="561"/>
      <c r="T115" s="562"/>
    </row>
    <row r="116" spans="6:20">
      <c r="F116" s="563" t="s">
        <v>258</v>
      </c>
      <c r="G116" s="566" t="s">
        <v>254</v>
      </c>
      <c r="H116" s="566"/>
      <c r="I116" s="567"/>
      <c r="J116" s="450" t="s">
        <v>255</v>
      </c>
      <c r="K116" s="447"/>
      <c r="L116" s="566" t="s">
        <v>254</v>
      </c>
      <c r="M116" s="566"/>
      <c r="N116" s="567"/>
      <c r="O116" s="450" t="s">
        <v>255</v>
      </c>
      <c r="P116" s="448"/>
      <c r="Q116" s="566" t="s">
        <v>254</v>
      </c>
      <c r="R116" s="566"/>
      <c r="S116" s="567"/>
      <c r="T116" s="450" t="s">
        <v>255</v>
      </c>
    </row>
    <row r="117" spans="6:20">
      <c r="F117" s="564"/>
      <c r="G117" s="437"/>
      <c r="H117" s="422" t="s">
        <v>30</v>
      </c>
      <c r="I117" s="422" t="s">
        <v>257</v>
      </c>
      <c r="J117" s="421"/>
      <c r="K117" s="447"/>
      <c r="L117" s="437"/>
      <c r="M117" s="422" t="s">
        <v>33</v>
      </c>
      <c r="N117" s="422" t="s">
        <v>257</v>
      </c>
      <c r="O117" s="421"/>
      <c r="P117" s="448"/>
      <c r="Q117" s="437"/>
      <c r="R117" s="422" t="s">
        <v>57</v>
      </c>
      <c r="S117" s="422" t="s">
        <v>257</v>
      </c>
      <c r="T117" s="421"/>
    </row>
    <row r="118" spans="6:20">
      <c r="F118" s="564"/>
      <c r="G118" s="438" t="s">
        <v>73</v>
      </c>
      <c r="H118" s="424">
        <v>97</v>
      </c>
      <c r="I118" s="425">
        <f>H118/$H$122</f>
        <v>0.90654205607476634</v>
      </c>
      <c r="J118" s="426">
        <f>$J$122*I118</f>
        <v>116.03738317757009</v>
      </c>
      <c r="K118" s="447"/>
      <c r="L118" s="438" t="s">
        <v>73</v>
      </c>
      <c r="M118" s="424">
        <v>0</v>
      </c>
      <c r="N118" s="425">
        <f>M118/$M$122</f>
        <v>0</v>
      </c>
      <c r="O118" s="426">
        <f>$O$122*N118</f>
        <v>0</v>
      </c>
      <c r="P118" s="448"/>
      <c r="Q118" s="438" t="s">
        <v>73</v>
      </c>
      <c r="R118" s="424">
        <v>0</v>
      </c>
      <c r="S118" s="425" t="e">
        <f>R118/$R$122</f>
        <v>#DIV/0!</v>
      </c>
      <c r="T118" s="426" t="e">
        <f>$T$122*S118</f>
        <v>#DIV/0!</v>
      </c>
    </row>
    <row r="119" spans="6:20">
      <c r="F119" s="564"/>
      <c r="G119" s="439" t="s">
        <v>74</v>
      </c>
      <c r="H119" s="428">
        <v>2</v>
      </c>
      <c r="I119" s="425">
        <f t="shared" ref="I119:I121" si="73">H119/$H$122</f>
        <v>1.8691588785046728E-2</v>
      </c>
      <c r="J119" s="426">
        <f t="shared" ref="J119:J121" si="74">$J$122*I119</f>
        <v>2.3925233644859811</v>
      </c>
      <c r="K119" s="447"/>
      <c r="L119" s="439" t="s">
        <v>74</v>
      </c>
      <c r="M119" s="428">
        <v>4</v>
      </c>
      <c r="N119" s="425">
        <f t="shared" ref="N119:N121" si="75">M119/$M$122</f>
        <v>3.2786885245901641E-2</v>
      </c>
      <c r="O119" s="426">
        <f t="shared" ref="O119:O121" si="76">$O$122*N119</f>
        <v>4.3934426229508201</v>
      </c>
      <c r="P119" s="448"/>
      <c r="Q119" s="439" t="s">
        <v>74</v>
      </c>
      <c r="R119" s="428">
        <v>0</v>
      </c>
      <c r="S119" s="425" t="e">
        <f t="shared" ref="S119:S121" si="77">R119/$R$122</f>
        <v>#DIV/0!</v>
      </c>
      <c r="T119" s="426" t="e">
        <f t="shared" ref="T119:T121" si="78">$T$122*S119</f>
        <v>#DIV/0!</v>
      </c>
    </row>
    <row r="120" spans="6:20">
      <c r="F120" s="564"/>
      <c r="G120" s="439" t="s">
        <v>75</v>
      </c>
      <c r="H120" s="430">
        <v>5</v>
      </c>
      <c r="I120" s="425">
        <f t="shared" si="73"/>
        <v>4.6728971962616821E-2</v>
      </c>
      <c r="J120" s="426">
        <f t="shared" si="74"/>
        <v>5.981308411214953</v>
      </c>
      <c r="K120" s="447"/>
      <c r="L120" s="439" t="s">
        <v>75</v>
      </c>
      <c r="M120" s="430">
        <v>2</v>
      </c>
      <c r="N120" s="425">
        <f t="shared" si="75"/>
        <v>1.6393442622950821E-2</v>
      </c>
      <c r="O120" s="426">
        <f t="shared" si="76"/>
        <v>2.1967213114754101</v>
      </c>
      <c r="P120" s="448"/>
      <c r="Q120" s="439" t="s">
        <v>75</v>
      </c>
      <c r="R120" s="430">
        <v>0</v>
      </c>
      <c r="S120" s="425" t="e">
        <f t="shared" si="77"/>
        <v>#DIV/0!</v>
      </c>
      <c r="T120" s="426" t="e">
        <f t="shared" si="78"/>
        <v>#DIV/0!</v>
      </c>
    </row>
    <row r="121" spans="6:20">
      <c r="F121" s="564"/>
      <c r="G121" s="439" t="s">
        <v>76</v>
      </c>
      <c r="H121" s="428">
        <v>3</v>
      </c>
      <c r="I121" s="425">
        <f t="shared" si="73"/>
        <v>2.8037383177570093E-2</v>
      </c>
      <c r="J121" s="426">
        <f t="shared" si="74"/>
        <v>3.5887850467289719</v>
      </c>
      <c r="K121" s="447"/>
      <c r="L121" s="439" t="s">
        <v>76</v>
      </c>
      <c r="M121" s="428">
        <v>116</v>
      </c>
      <c r="N121" s="425">
        <f t="shared" si="75"/>
        <v>0.95081967213114749</v>
      </c>
      <c r="O121" s="426">
        <f t="shared" si="76"/>
        <v>127.40983606557376</v>
      </c>
      <c r="P121" s="448"/>
      <c r="Q121" s="439" t="s">
        <v>76</v>
      </c>
      <c r="R121" s="428">
        <v>0</v>
      </c>
      <c r="S121" s="425" t="e">
        <f t="shared" si="77"/>
        <v>#DIV/0!</v>
      </c>
      <c r="T121" s="426" t="e">
        <f t="shared" si="78"/>
        <v>#DIV/0!</v>
      </c>
    </row>
    <row r="122" spans="6:20">
      <c r="F122" s="564"/>
      <c r="G122" s="440" t="s">
        <v>253</v>
      </c>
      <c r="H122" s="432">
        <f t="shared" ref="H122" si="79">SUM(H118:H121)</f>
        <v>107</v>
      </c>
      <c r="I122" s="425">
        <f t="shared" ref="I122" si="80">H122/$H$84</f>
        <v>0.77536231884057971</v>
      </c>
      <c r="J122" s="433">
        <v>128</v>
      </c>
      <c r="K122" s="447"/>
      <c r="L122" s="440" t="s">
        <v>253</v>
      </c>
      <c r="M122" s="432">
        <f t="shared" ref="M122" si="81">SUM(M118:M121)</f>
        <v>122</v>
      </c>
      <c r="N122" s="425">
        <f t="shared" ref="N122" si="82">M122/$H$84</f>
        <v>0.88405797101449279</v>
      </c>
      <c r="O122" s="433">
        <v>134</v>
      </c>
      <c r="P122" s="448"/>
      <c r="Q122" s="440" t="s">
        <v>253</v>
      </c>
      <c r="R122" s="432">
        <f t="shared" ref="R122" si="83">SUM(R118:R121)</f>
        <v>0</v>
      </c>
      <c r="S122" s="425">
        <f t="shared" ref="S122" si="84">R122/$H$84</f>
        <v>0</v>
      </c>
      <c r="T122" s="433">
        <v>0</v>
      </c>
    </row>
    <row r="123" spans="6:20">
      <c r="F123" s="564"/>
      <c r="G123" s="555" t="s">
        <v>256</v>
      </c>
      <c r="H123" s="555"/>
      <c r="I123" s="555"/>
      <c r="J123" s="556"/>
      <c r="K123" s="447"/>
      <c r="L123" s="555" t="s">
        <v>256</v>
      </c>
      <c r="M123" s="555"/>
      <c r="N123" s="555"/>
      <c r="O123" s="556"/>
      <c r="Q123" s="560" t="s">
        <v>256</v>
      </c>
      <c r="R123" s="555"/>
      <c r="S123" s="555"/>
      <c r="T123" s="556"/>
    </row>
    <row r="124" spans="6:20">
      <c r="F124" s="564"/>
      <c r="Q124" s="449"/>
    </row>
    <row r="125" spans="6:20">
      <c r="F125" s="564"/>
      <c r="G125" s="558" t="s">
        <v>254</v>
      </c>
      <c r="H125" s="558"/>
      <c r="I125" s="559"/>
      <c r="J125" s="434" t="s">
        <v>255</v>
      </c>
      <c r="L125" s="557" t="s">
        <v>254</v>
      </c>
      <c r="M125" s="558"/>
      <c r="N125" s="559"/>
      <c r="O125" s="434" t="s">
        <v>255</v>
      </c>
      <c r="P125" s="436"/>
      <c r="Q125" s="558" t="s">
        <v>254</v>
      </c>
      <c r="R125" s="558"/>
      <c r="S125" s="559"/>
      <c r="T125" s="434" t="s">
        <v>255</v>
      </c>
    </row>
    <row r="126" spans="6:20">
      <c r="F126" s="564"/>
      <c r="G126" s="437"/>
      <c r="H126" s="422" t="s">
        <v>31</v>
      </c>
      <c r="I126" s="422" t="s">
        <v>257</v>
      </c>
      <c r="J126" s="421"/>
      <c r="L126" s="421"/>
      <c r="M126" s="422" t="s">
        <v>54</v>
      </c>
      <c r="N126" s="422" t="s">
        <v>257</v>
      </c>
      <c r="O126" s="421"/>
      <c r="P126" s="436"/>
      <c r="Q126" s="437"/>
      <c r="R126" s="422" t="s">
        <v>58</v>
      </c>
      <c r="S126" s="422" t="s">
        <v>257</v>
      </c>
      <c r="T126" s="421"/>
    </row>
    <row r="127" spans="6:20">
      <c r="F127" s="564"/>
      <c r="G127" s="438" t="s">
        <v>73</v>
      </c>
      <c r="H127" s="424">
        <v>72</v>
      </c>
      <c r="I127" s="425">
        <f>H127/$H$131</f>
        <v>0.83720930232558144</v>
      </c>
      <c r="J127" s="426">
        <f>$J$131*I127</f>
        <v>87.069767441860463</v>
      </c>
      <c r="L127" s="423" t="s">
        <v>73</v>
      </c>
      <c r="M127" s="424">
        <v>0</v>
      </c>
      <c r="N127" s="425" t="e">
        <f>M127/$M$131</f>
        <v>#DIV/0!</v>
      </c>
      <c r="O127" s="426" t="e">
        <f>$O$131*N127</f>
        <v>#DIV/0!</v>
      </c>
      <c r="P127" s="436"/>
      <c r="Q127" s="438" t="s">
        <v>73</v>
      </c>
      <c r="R127" s="424">
        <v>0</v>
      </c>
      <c r="S127" s="425" t="e">
        <f>R127/$R$131</f>
        <v>#DIV/0!</v>
      </c>
      <c r="T127" s="426" t="e">
        <f>$T$131*S127</f>
        <v>#DIV/0!</v>
      </c>
    </row>
    <row r="128" spans="6:20">
      <c r="F128" s="564"/>
      <c r="G128" s="439" t="s">
        <v>74</v>
      </c>
      <c r="H128" s="428">
        <v>6</v>
      </c>
      <c r="I128" s="425">
        <f t="shared" ref="I128:I130" si="85">H128/$H$131</f>
        <v>6.9767441860465115E-2</v>
      </c>
      <c r="J128" s="426">
        <f t="shared" ref="J128:J130" si="86">$J$131*I128</f>
        <v>7.2558139534883717</v>
      </c>
      <c r="L128" s="427" t="s">
        <v>74</v>
      </c>
      <c r="M128" s="428">
        <v>0</v>
      </c>
      <c r="N128" s="425" t="e">
        <f t="shared" ref="N128:N130" si="87">M128/$M$131</f>
        <v>#DIV/0!</v>
      </c>
      <c r="O128" s="426" t="e">
        <f t="shared" ref="O128:O130" si="88">$O$131*N128</f>
        <v>#DIV/0!</v>
      </c>
      <c r="P128" s="436"/>
      <c r="Q128" s="439" t="s">
        <v>74</v>
      </c>
      <c r="R128" s="428">
        <v>0</v>
      </c>
      <c r="S128" s="425" t="e">
        <f t="shared" ref="S128:S130" si="89">R128/$R$131</f>
        <v>#DIV/0!</v>
      </c>
      <c r="T128" s="426" t="e">
        <f t="shared" ref="T128:T130" si="90">$T$131*S128</f>
        <v>#DIV/0!</v>
      </c>
    </row>
    <row r="129" spans="6:20">
      <c r="F129" s="564"/>
      <c r="G129" s="439" t="s">
        <v>75</v>
      </c>
      <c r="H129" s="430">
        <v>8</v>
      </c>
      <c r="I129" s="425">
        <f t="shared" si="85"/>
        <v>9.3023255813953487E-2</v>
      </c>
      <c r="J129" s="426">
        <f t="shared" si="86"/>
        <v>9.6744186046511622</v>
      </c>
      <c r="L129" s="427" t="s">
        <v>75</v>
      </c>
      <c r="M129" s="430">
        <v>0</v>
      </c>
      <c r="N129" s="425" t="e">
        <f t="shared" si="87"/>
        <v>#DIV/0!</v>
      </c>
      <c r="O129" s="426" t="e">
        <f t="shared" si="88"/>
        <v>#DIV/0!</v>
      </c>
      <c r="P129" s="436"/>
      <c r="Q129" s="439" t="s">
        <v>75</v>
      </c>
      <c r="R129" s="430">
        <v>0</v>
      </c>
      <c r="S129" s="425" t="e">
        <f t="shared" si="89"/>
        <v>#DIV/0!</v>
      </c>
      <c r="T129" s="426" t="e">
        <f t="shared" si="90"/>
        <v>#DIV/0!</v>
      </c>
    </row>
    <row r="130" spans="6:20">
      <c r="F130" s="564"/>
      <c r="G130" s="439" t="s">
        <v>76</v>
      </c>
      <c r="H130" s="428">
        <v>0</v>
      </c>
      <c r="I130" s="425">
        <f t="shared" si="85"/>
        <v>0</v>
      </c>
      <c r="J130" s="426">
        <f t="shared" si="86"/>
        <v>0</v>
      </c>
      <c r="L130" s="427" t="s">
        <v>76</v>
      </c>
      <c r="M130" s="428">
        <v>0</v>
      </c>
      <c r="N130" s="425" t="e">
        <f t="shared" si="87"/>
        <v>#DIV/0!</v>
      </c>
      <c r="O130" s="426" t="e">
        <f t="shared" si="88"/>
        <v>#DIV/0!</v>
      </c>
      <c r="P130" s="436"/>
      <c r="Q130" s="439" t="s">
        <v>76</v>
      </c>
      <c r="R130" s="428">
        <v>0</v>
      </c>
      <c r="S130" s="425" t="e">
        <f t="shared" si="89"/>
        <v>#DIV/0!</v>
      </c>
      <c r="T130" s="426" t="e">
        <f t="shared" si="90"/>
        <v>#DIV/0!</v>
      </c>
    </row>
    <row r="131" spans="6:20">
      <c r="F131" s="564"/>
      <c r="G131" s="440" t="s">
        <v>253</v>
      </c>
      <c r="H131" s="432">
        <f t="shared" ref="H131" si="91">SUM(H127:H130)</f>
        <v>86</v>
      </c>
      <c r="I131" s="425">
        <f t="shared" ref="I131" si="92">H131/$H$93</f>
        <v>1.1466666666666667</v>
      </c>
      <c r="J131" s="433">
        <v>104</v>
      </c>
      <c r="L131" s="431" t="s">
        <v>253</v>
      </c>
      <c r="M131" s="432">
        <f t="shared" ref="M131" si="93">SUM(M127:M130)</f>
        <v>0</v>
      </c>
      <c r="N131" s="425">
        <f t="shared" ref="N131" si="94">M131/$H$84</f>
        <v>0</v>
      </c>
      <c r="O131" s="433">
        <v>0</v>
      </c>
      <c r="P131" s="436"/>
      <c r="Q131" s="440" t="s">
        <v>253</v>
      </c>
      <c r="R131" s="432">
        <f t="shared" ref="R131" si="95">SUM(R127:R130)</f>
        <v>0</v>
      </c>
      <c r="S131" s="425">
        <f t="shared" ref="S131" si="96">R131/$H$93</f>
        <v>0</v>
      </c>
      <c r="T131" s="433">
        <v>0</v>
      </c>
    </row>
    <row r="132" spans="6:20">
      <c r="F132" s="564"/>
      <c r="G132" s="555" t="s">
        <v>256</v>
      </c>
      <c r="H132" s="555"/>
      <c r="I132" s="555"/>
      <c r="J132" s="556"/>
      <c r="L132" s="560" t="s">
        <v>256</v>
      </c>
      <c r="M132" s="555"/>
      <c r="N132" s="555"/>
      <c r="O132" s="556"/>
      <c r="Q132" s="560" t="s">
        <v>256</v>
      </c>
      <c r="R132" s="555"/>
      <c r="S132" s="555"/>
      <c r="T132" s="556"/>
    </row>
    <row r="133" spans="6:20">
      <c r="F133" s="564"/>
    </row>
    <row r="134" spans="6:20">
      <c r="F134" s="564"/>
      <c r="G134" s="558" t="s">
        <v>254</v>
      </c>
      <c r="H134" s="558"/>
      <c r="I134" s="559"/>
      <c r="J134" s="434" t="s">
        <v>255</v>
      </c>
      <c r="L134" s="557" t="s">
        <v>254</v>
      </c>
      <c r="M134" s="558"/>
      <c r="N134" s="559"/>
      <c r="O134" s="434" t="s">
        <v>255</v>
      </c>
      <c r="Q134" s="557" t="s">
        <v>254</v>
      </c>
      <c r="R134" s="558"/>
      <c r="S134" s="559"/>
      <c r="T134" s="434" t="s">
        <v>255</v>
      </c>
    </row>
    <row r="135" spans="6:20">
      <c r="F135" s="564"/>
      <c r="G135" s="437"/>
      <c r="H135" s="422" t="s">
        <v>2</v>
      </c>
      <c r="I135" s="422" t="s">
        <v>257</v>
      </c>
      <c r="J135" s="421"/>
      <c r="L135" s="421"/>
      <c r="M135" s="422" t="s">
        <v>55</v>
      </c>
      <c r="N135" s="422" t="s">
        <v>257</v>
      </c>
      <c r="O135" s="421"/>
      <c r="Q135" s="421"/>
      <c r="R135" s="422" t="s">
        <v>59</v>
      </c>
      <c r="S135" s="422" t="s">
        <v>257</v>
      </c>
      <c r="T135" s="421"/>
    </row>
    <row r="136" spans="6:20">
      <c r="F136" s="564"/>
      <c r="G136" s="438" t="s">
        <v>73</v>
      </c>
      <c r="H136" s="424">
        <v>122</v>
      </c>
      <c r="I136" s="425">
        <f>H136/$H$140</f>
        <v>0.76249999999999996</v>
      </c>
      <c r="J136" s="426">
        <f>$J$140*I136</f>
        <v>125.05</v>
      </c>
      <c r="L136" s="423" t="s">
        <v>73</v>
      </c>
      <c r="M136" s="424">
        <v>0</v>
      </c>
      <c r="N136" s="425" t="e">
        <f>M136/$M$140</f>
        <v>#DIV/0!</v>
      </c>
      <c r="O136" s="426" t="e">
        <f>$O$140*N136</f>
        <v>#DIV/0!</v>
      </c>
      <c r="Q136" s="423" t="s">
        <v>73</v>
      </c>
      <c r="R136" s="424">
        <v>0</v>
      </c>
      <c r="S136" s="425" t="e">
        <f>R136/$R$140</f>
        <v>#DIV/0!</v>
      </c>
      <c r="T136" s="426" t="e">
        <f>$T$140*S136</f>
        <v>#DIV/0!</v>
      </c>
    </row>
    <row r="137" spans="6:20">
      <c r="F137" s="564"/>
      <c r="G137" s="439" t="s">
        <v>74</v>
      </c>
      <c r="H137" s="428">
        <v>22</v>
      </c>
      <c r="I137" s="425">
        <f t="shared" ref="I137:I139" si="97">H137/$H$140</f>
        <v>0.13750000000000001</v>
      </c>
      <c r="J137" s="426">
        <f t="shared" ref="J137:J139" si="98">$J$140*I137</f>
        <v>22.55</v>
      </c>
      <c r="L137" s="427" t="s">
        <v>74</v>
      </c>
      <c r="M137" s="428">
        <v>0</v>
      </c>
      <c r="N137" s="425" t="e">
        <f t="shared" ref="N137:N139" si="99">M137/$M$140</f>
        <v>#DIV/0!</v>
      </c>
      <c r="O137" s="426" t="e">
        <f t="shared" ref="O137:O139" si="100">$O$140*N137</f>
        <v>#DIV/0!</v>
      </c>
      <c r="Q137" s="427" t="s">
        <v>74</v>
      </c>
      <c r="R137" s="428">
        <v>0</v>
      </c>
      <c r="S137" s="425" t="e">
        <f t="shared" ref="S137:S139" si="101">R137/$R$140</f>
        <v>#DIV/0!</v>
      </c>
      <c r="T137" s="426" t="e">
        <f t="shared" ref="T137:T139" si="102">$T$140*S137</f>
        <v>#DIV/0!</v>
      </c>
    </row>
    <row r="138" spans="6:20">
      <c r="F138" s="564"/>
      <c r="G138" s="439" t="s">
        <v>75</v>
      </c>
      <c r="H138" s="430">
        <v>16</v>
      </c>
      <c r="I138" s="425">
        <f t="shared" si="97"/>
        <v>0.1</v>
      </c>
      <c r="J138" s="426">
        <f t="shared" si="98"/>
        <v>16.400000000000002</v>
      </c>
      <c r="L138" s="427" t="s">
        <v>75</v>
      </c>
      <c r="M138" s="430">
        <v>0</v>
      </c>
      <c r="N138" s="425" t="e">
        <f t="shared" si="99"/>
        <v>#DIV/0!</v>
      </c>
      <c r="O138" s="426" t="e">
        <f t="shared" si="100"/>
        <v>#DIV/0!</v>
      </c>
      <c r="Q138" s="427" t="s">
        <v>75</v>
      </c>
      <c r="R138" s="430">
        <v>0</v>
      </c>
      <c r="S138" s="425" t="e">
        <f t="shared" si="101"/>
        <v>#DIV/0!</v>
      </c>
      <c r="T138" s="426" t="e">
        <f t="shared" si="102"/>
        <v>#DIV/0!</v>
      </c>
    </row>
    <row r="139" spans="6:20">
      <c r="F139" s="564"/>
      <c r="G139" s="439" t="s">
        <v>76</v>
      </c>
      <c r="H139" s="428">
        <v>0</v>
      </c>
      <c r="I139" s="425">
        <f t="shared" si="97"/>
        <v>0</v>
      </c>
      <c r="J139" s="426">
        <f t="shared" si="98"/>
        <v>0</v>
      </c>
      <c r="L139" s="427" t="s">
        <v>76</v>
      </c>
      <c r="M139" s="428">
        <v>0</v>
      </c>
      <c r="N139" s="425" t="e">
        <f t="shared" si="99"/>
        <v>#DIV/0!</v>
      </c>
      <c r="O139" s="426" t="e">
        <f t="shared" si="100"/>
        <v>#DIV/0!</v>
      </c>
      <c r="Q139" s="427" t="s">
        <v>76</v>
      </c>
      <c r="R139" s="428">
        <v>0</v>
      </c>
      <c r="S139" s="425" t="e">
        <f t="shared" si="101"/>
        <v>#DIV/0!</v>
      </c>
      <c r="T139" s="426" t="e">
        <f t="shared" si="102"/>
        <v>#DIV/0!</v>
      </c>
    </row>
    <row r="140" spans="6:20">
      <c r="F140" s="564"/>
      <c r="G140" s="440" t="s">
        <v>253</v>
      </c>
      <c r="H140" s="432">
        <f t="shared" ref="H140" si="103">SUM(H136:H139)</f>
        <v>160</v>
      </c>
      <c r="I140" s="425">
        <f t="shared" ref="I140" si="104">H140/$H$93</f>
        <v>2.1333333333333333</v>
      </c>
      <c r="J140" s="433">
        <v>164</v>
      </c>
      <c r="L140" s="431" t="s">
        <v>253</v>
      </c>
      <c r="M140" s="432">
        <f t="shared" ref="M140" si="105">SUM(M136:M139)</f>
        <v>0</v>
      </c>
      <c r="N140" s="425">
        <f t="shared" ref="N140" si="106">M140/$H$93</f>
        <v>0</v>
      </c>
      <c r="O140" s="433">
        <v>0</v>
      </c>
      <c r="Q140" s="431" t="s">
        <v>253</v>
      </c>
      <c r="R140" s="432">
        <f t="shared" ref="R140" si="107">SUM(R136:R139)</f>
        <v>0</v>
      </c>
      <c r="S140" s="425">
        <f t="shared" ref="S140" si="108">R140/$H$93</f>
        <v>0</v>
      </c>
      <c r="T140" s="433">
        <v>0</v>
      </c>
    </row>
    <row r="141" spans="6:20">
      <c r="F141" s="564"/>
      <c r="G141" s="555" t="s">
        <v>256</v>
      </c>
      <c r="H141" s="555"/>
      <c r="I141" s="555"/>
      <c r="J141" s="556"/>
      <c r="L141" s="560" t="s">
        <v>256</v>
      </c>
      <c r="M141" s="555"/>
      <c r="N141" s="555"/>
      <c r="O141" s="556"/>
      <c r="Q141" s="560" t="s">
        <v>256</v>
      </c>
      <c r="R141" s="555"/>
      <c r="S141" s="555"/>
      <c r="T141" s="556"/>
    </row>
    <row r="142" spans="6:20">
      <c r="F142" s="564"/>
    </row>
    <row r="143" spans="6:20">
      <c r="F143" s="564"/>
      <c r="G143" s="558" t="s">
        <v>254</v>
      </c>
      <c r="H143" s="558"/>
      <c r="I143" s="559"/>
      <c r="J143" s="434" t="s">
        <v>255</v>
      </c>
      <c r="K143" s="447"/>
      <c r="L143" s="558" t="s">
        <v>254</v>
      </c>
      <c r="M143" s="558"/>
      <c r="N143" s="559"/>
      <c r="O143" s="434" t="s">
        <v>255</v>
      </c>
      <c r="P143" s="448"/>
      <c r="Q143" s="558" t="s">
        <v>254</v>
      </c>
      <c r="R143" s="558"/>
      <c r="S143" s="559"/>
      <c r="T143" s="434" t="s">
        <v>255</v>
      </c>
    </row>
    <row r="144" spans="6:20">
      <c r="F144" s="564"/>
      <c r="G144" s="437"/>
      <c r="H144" s="422" t="s">
        <v>32</v>
      </c>
      <c r="I144" s="422" t="s">
        <v>257</v>
      </c>
      <c r="J144" s="421"/>
      <c r="K144" s="447"/>
      <c r="L144" s="437"/>
      <c r="M144" s="422" t="s">
        <v>56</v>
      </c>
      <c r="N144" s="422" t="s">
        <v>257</v>
      </c>
      <c r="O144" s="421"/>
      <c r="P144" s="448"/>
      <c r="Q144" s="437"/>
      <c r="R144" s="422" t="s">
        <v>60</v>
      </c>
      <c r="S144" s="422" t="s">
        <v>257</v>
      </c>
      <c r="T144" s="421"/>
    </row>
    <row r="145" spans="6:20">
      <c r="F145" s="564"/>
      <c r="G145" s="438" t="s">
        <v>73</v>
      </c>
      <c r="H145" s="424">
        <v>77</v>
      </c>
      <c r="I145" s="425">
        <f>H145/$H$149</f>
        <v>0.81052631578947365</v>
      </c>
      <c r="J145" s="426">
        <f>$J$149*I145</f>
        <v>96.452631578947361</v>
      </c>
      <c r="K145" s="447"/>
      <c r="L145" s="438" t="s">
        <v>73</v>
      </c>
      <c r="M145" s="424">
        <v>0</v>
      </c>
      <c r="N145" s="425" t="e">
        <f>M145/$M$149</f>
        <v>#DIV/0!</v>
      </c>
      <c r="O145" s="426" t="e">
        <f>$O$149*N145</f>
        <v>#DIV/0!</v>
      </c>
      <c r="P145" s="448"/>
      <c r="Q145" s="438" t="s">
        <v>73</v>
      </c>
      <c r="R145" s="424">
        <v>0</v>
      </c>
      <c r="S145" s="425" t="e">
        <f>R145/$R$149</f>
        <v>#DIV/0!</v>
      </c>
      <c r="T145" s="426" t="e">
        <f>$T$149*S145</f>
        <v>#DIV/0!</v>
      </c>
    </row>
    <row r="146" spans="6:20">
      <c r="F146" s="564"/>
      <c r="G146" s="439" t="s">
        <v>74</v>
      </c>
      <c r="H146" s="428">
        <v>11</v>
      </c>
      <c r="I146" s="425">
        <f t="shared" ref="I146:I148" si="109">H146/$H$149</f>
        <v>0.11578947368421053</v>
      </c>
      <c r="J146" s="426">
        <f t="shared" ref="J146:J148" si="110">$J$149*I146</f>
        <v>13.778947368421052</v>
      </c>
      <c r="K146" s="447"/>
      <c r="L146" s="439" t="s">
        <v>74</v>
      </c>
      <c r="M146" s="428">
        <v>0</v>
      </c>
      <c r="N146" s="425" t="e">
        <f t="shared" ref="N146:N148" si="111">M146/$M$149</f>
        <v>#DIV/0!</v>
      </c>
      <c r="O146" s="426" t="e">
        <f t="shared" ref="O146:O148" si="112">$O$149*N146</f>
        <v>#DIV/0!</v>
      </c>
      <c r="P146" s="448"/>
      <c r="Q146" s="439" t="s">
        <v>74</v>
      </c>
      <c r="R146" s="428">
        <v>0</v>
      </c>
      <c r="S146" s="425" t="e">
        <f t="shared" ref="S146:S148" si="113">R146/$R$149</f>
        <v>#DIV/0!</v>
      </c>
      <c r="T146" s="426" t="e">
        <f t="shared" ref="T146:T148" si="114">$T$149*S146</f>
        <v>#DIV/0!</v>
      </c>
    </row>
    <row r="147" spans="6:20">
      <c r="F147" s="564"/>
      <c r="G147" s="439" t="s">
        <v>75</v>
      </c>
      <c r="H147" s="430">
        <v>7</v>
      </c>
      <c r="I147" s="425">
        <f t="shared" si="109"/>
        <v>7.3684210526315783E-2</v>
      </c>
      <c r="J147" s="426">
        <f t="shared" si="110"/>
        <v>8.7684210526315773</v>
      </c>
      <c r="K147" s="447"/>
      <c r="L147" s="439" t="s">
        <v>75</v>
      </c>
      <c r="M147" s="430">
        <v>0</v>
      </c>
      <c r="N147" s="425" t="e">
        <f t="shared" si="111"/>
        <v>#DIV/0!</v>
      </c>
      <c r="O147" s="426" t="e">
        <f t="shared" si="112"/>
        <v>#DIV/0!</v>
      </c>
      <c r="P147" s="448"/>
      <c r="Q147" s="439" t="s">
        <v>75</v>
      </c>
      <c r="R147" s="430">
        <v>0</v>
      </c>
      <c r="S147" s="425" t="e">
        <f t="shared" si="113"/>
        <v>#DIV/0!</v>
      </c>
      <c r="T147" s="426" t="e">
        <f t="shared" si="114"/>
        <v>#DIV/0!</v>
      </c>
    </row>
    <row r="148" spans="6:20">
      <c r="F148" s="564"/>
      <c r="G148" s="439" t="s">
        <v>76</v>
      </c>
      <c r="H148" s="428">
        <v>0</v>
      </c>
      <c r="I148" s="425">
        <f t="shared" si="109"/>
        <v>0</v>
      </c>
      <c r="J148" s="426">
        <f t="shared" si="110"/>
        <v>0</v>
      </c>
      <c r="K148" s="447"/>
      <c r="L148" s="439" t="s">
        <v>76</v>
      </c>
      <c r="M148" s="428">
        <v>0</v>
      </c>
      <c r="N148" s="425" t="e">
        <f t="shared" si="111"/>
        <v>#DIV/0!</v>
      </c>
      <c r="O148" s="426" t="e">
        <f t="shared" si="112"/>
        <v>#DIV/0!</v>
      </c>
      <c r="P148" s="448"/>
      <c r="Q148" s="439" t="s">
        <v>76</v>
      </c>
      <c r="R148" s="428">
        <v>0</v>
      </c>
      <c r="S148" s="425" t="e">
        <f t="shared" si="113"/>
        <v>#DIV/0!</v>
      </c>
      <c r="T148" s="426" t="e">
        <f t="shared" si="114"/>
        <v>#DIV/0!</v>
      </c>
    </row>
    <row r="149" spans="6:20">
      <c r="F149" s="564"/>
      <c r="G149" s="440" t="s">
        <v>253</v>
      </c>
      <c r="H149" s="432">
        <f t="shared" ref="H149" si="115">SUM(H145:H148)</f>
        <v>95</v>
      </c>
      <c r="I149" s="425">
        <f t="shared" ref="I149" si="116">H149/$H$111</f>
        <v>0.74803149606299213</v>
      </c>
      <c r="J149" s="426">
        <v>119</v>
      </c>
      <c r="K149" s="447"/>
      <c r="L149" s="440" t="s">
        <v>253</v>
      </c>
      <c r="M149" s="432">
        <f t="shared" ref="M149" si="117">SUM(M145:M148)</f>
        <v>0</v>
      </c>
      <c r="N149" s="425">
        <f t="shared" ref="N149" si="118">M149/$H$93</f>
        <v>0</v>
      </c>
      <c r="O149" s="433">
        <v>0</v>
      </c>
      <c r="P149" s="448"/>
      <c r="Q149" s="440" t="s">
        <v>253</v>
      </c>
      <c r="R149" s="432">
        <f t="shared" ref="R149" si="119">SUM(R145:R148)</f>
        <v>0</v>
      </c>
      <c r="S149" s="425">
        <f t="shared" ref="S149" si="120">R149/$H$111</f>
        <v>0</v>
      </c>
      <c r="T149" s="426">
        <v>0</v>
      </c>
    </row>
    <row r="150" spans="6:20" ht="14.95" thickBot="1">
      <c r="F150" s="565"/>
      <c r="G150" s="555" t="s">
        <v>256</v>
      </c>
      <c r="H150" s="555"/>
      <c r="I150" s="555"/>
      <c r="J150" s="556"/>
      <c r="K150" s="447"/>
      <c r="L150" s="555" t="s">
        <v>256</v>
      </c>
      <c r="M150" s="555"/>
      <c r="N150" s="555"/>
      <c r="O150" s="556"/>
      <c r="P150" s="448"/>
      <c r="Q150" s="555" t="s">
        <v>256</v>
      </c>
      <c r="R150" s="555"/>
      <c r="S150" s="555"/>
      <c r="T150" s="556"/>
    </row>
    <row r="151" spans="6:20" ht="14.95" thickBot="1"/>
    <row r="152" spans="6:20" ht="14.95" thickBot="1">
      <c r="F152" s="451"/>
      <c r="G152" s="593" t="s">
        <v>262</v>
      </c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4"/>
    </row>
    <row r="153" spans="6:20">
      <c r="F153" s="563" t="s">
        <v>258</v>
      </c>
      <c r="G153" s="566" t="s">
        <v>254</v>
      </c>
      <c r="H153" s="566"/>
      <c r="I153" s="567"/>
      <c r="J153" s="450" t="s">
        <v>255</v>
      </c>
      <c r="K153" s="447"/>
      <c r="L153" s="566" t="s">
        <v>254</v>
      </c>
      <c r="M153" s="566"/>
      <c r="N153" s="567"/>
      <c r="O153" s="450" t="s">
        <v>255</v>
      </c>
      <c r="P153" s="448"/>
      <c r="Q153" s="566" t="s">
        <v>254</v>
      </c>
      <c r="R153" s="566"/>
      <c r="S153" s="567"/>
      <c r="T153" s="450" t="s">
        <v>255</v>
      </c>
    </row>
    <row r="154" spans="6:20">
      <c r="F154" s="564"/>
      <c r="G154" s="437"/>
      <c r="H154" s="422" t="s">
        <v>30</v>
      </c>
      <c r="I154" s="422" t="s">
        <v>257</v>
      </c>
      <c r="J154" s="421"/>
      <c r="K154" s="447"/>
      <c r="L154" s="437"/>
      <c r="M154" s="422" t="s">
        <v>33</v>
      </c>
      <c r="N154" s="422" t="s">
        <v>257</v>
      </c>
      <c r="O154" s="421"/>
      <c r="P154" s="448"/>
      <c r="Q154" s="437"/>
      <c r="R154" s="422" t="s">
        <v>57</v>
      </c>
      <c r="S154" s="422" t="s">
        <v>257</v>
      </c>
      <c r="T154" s="421"/>
    </row>
    <row r="155" spans="6:20">
      <c r="F155" s="564"/>
      <c r="G155" s="438" t="s">
        <v>73</v>
      </c>
      <c r="H155" s="424">
        <v>217</v>
      </c>
      <c r="I155" s="425">
        <f>H155/$H$159</f>
        <v>0.91176470588235292</v>
      </c>
      <c r="J155" s="426">
        <f>$J$159*I155</f>
        <v>211.52941176470588</v>
      </c>
      <c r="K155" s="447"/>
      <c r="L155" s="438" t="s">
        <v>73</v>
      </c>
      <c r="M155" s="424">
        <v>211</v>
      </c>
      <c r="N155" s="425">
        <f>M155/$M$159</f>
        <v>0.89029535864978904</v>
      </c>
      <c r="O155" s="426">
        <f>$O$159*N155</f>
        <v>191.41350210970464</v>
      </c>
      <c r="P155" s="448"/>
      <c r="Q155" s="438" t="s">
        <v>73</v>
      </c>
      <c r="R155" s="424">
        <v>0</v>
      </c>
      <c r="S155" s="425" t="e">
        <f>R155/$R$159</f>
        <v>#DIV/0!</v>
      </c>
      <c r="T155" s="426" t="e">
        <f>$T$159*S155</f>
        <v>#DIV/0!</v>
      </c>
    </row>
    <row r="156" spans="6:20">
      <c r="F156" s="564"/>
      <c r="G156" s="439" t="s">
        <v>74</v>
      </c>
      <c r="H156" s="428">
        <v>10</v>
      </c>
      <c r="I156" s="425">
        <f t="shared" ref="I156:I158" si="121">H156/$H$159</f>
        <v>4.2016806722689079E-2</v>
      </c>
      <c r="J156" s="426">
        <f t="shared" ref="J156:J158" si="122">$J$159*I156</f>
        <v>9.7478991596638664</v>
      </c>
      <c r="K156" s="447"/>
      <c r="L156" s="439" t="s">
        <v>74</v>
      </c>
      <c r="M156" s="428">
        <v>21</v>
      </c>
      <c r="N156" s="425">
        <f t="shared" ref="N156:N158" si="123">M156/$M$159</f>
        <v>8.8607594936708861E-2</v>
      </c>
      <c r="O156" s="426">
        <f t="shared" ref="O156:O158" si="124">$O$159*N156</f>
        <v>19.050632911392405</v>
      </c>
      <c r="P156" s="448"/>
      <c r="Q156" s="439" t="s">
        <v>74</v>
      </c>
      <c r="R156" s="428">
        <v>0</v>
      </c>
      <c r="S156" s="425" t="e">
        <f t="shared" ref="S156:S158" si="125">R156/$R$159</f>
        <v>#DIV/0!</v>
      </c>
      <c r="T156" s="426" t="e">
        <f t="shared" ref="T156:T158" si="126">$T$159*S156</f>
        <v>#DIV/0!</v>
      </c>
    </row>
    <row r="157" spans="6:20">
      <c r="F157" s="564"/>
      <c r="G157" s="439" t="s">
        <v>75</v>
      </c>
      <c r="H157" s="430">
        <v>10</v>
      </c>
      <c r="I157" s="425">
        <f t="shared" si="121"/>
        <v>4.2016806722689079E-2</v>
      </c>
      <c r="J157" s="426">
        <f t="shared" si="122"/>
        <v>9.7478991596638664</v>
      </c>
      <c r="K157" s="447"/>
      <c r="L157" s="439" t="s">
        <v>75</v>
      </c>
      <c r="M157" s="430">
        <v>5</v>
      </c>
      <c r="N157" s="425">
        <f t="shared" si="123"/>
        <v>2.1097046413502109E-2</v>
      </c>
      <c r="O157" s="426">
        <f t="shared" si="124"/>
        <v>4.5358649789029535</v>
      </c>
      <c r="P157" s="448"/>
      <c r="Q157" s="439" t="s">
        <v>75</v>
      </c>
      <c r="R157" s="430">
        <v>0</v>
      </c>
      <c r="S157" s="425" t="e">
        <f t="shared" si="125"/>
        <v>#DIV/0!</v>
      </c>
      <c r="T157" s="426" t="e">
        <f t="shared" si="126"/>
        <v>#DIV/0!</v>
      </c>
    </row>
    <row r="158" spans="6:20">
      <c r="F158" s="564"/>
      <c r="G158" s="439" t="s">
        <v>76</v>
      </c>
      <c r="H158" s="428">
        <v>1</v>
      </c>
      <c r="I158" s="425">
        <f t="shared" si="121"/>
        <v>4.2016806722689074E-3</v>
      </c>
      <c r="J158" s="426">
        <f t="shared" si="122"/>
        <v>0.97478991596638653</v>
      </c>
      <c r="K158" s="447"/>
      <c r="L158" s="439" t="s">
        <v>76</v>
      </c>
      <c r="M158" s="428">
        <v>0</v>
      </c>
      <c r="N158" s="425">
        <f t="shared" si="123"/>
        <v>0</v>
      </c>
      <c r="O158" s="426">
        <f t="shared" si="124"/>
        <v>0</v>
      </c>
      <c r="P158" s="448"/>
      <c r="Q158" s="439" t="s">
        <v>76</v>
      </c>
      <c r="R158" s="428">
        <v>0</v>
      </c>
      <c r="S158" s="425" t="e">
        <f t="shared" si="125"/>
        <v>#DIV/0!</v>
      </c>
      <c r="T158" s="426" t="e">
        <f t="shared" si="126"/>
        <v>#DIV/0!</v>
      </c>
    </row>
    <row r="159" spans="6:20">
      <c r="F159" s="564"/>
      <c r="G159" s="440" t="s">
        <v>253</v>
      </c>
      <c r="H159" s="432">
        <f t="shared" ref="H159" si="127">SUM(H155:H158)</f>
        <v>238</v>
      </c>
      <c r="I159" s="425">
        <f t="shared" ref="I159" si="128">H159/$H$84</f>
        <v>1.7246376811594204</v>
      </c>
      <c r="J159" s="433">
        <v>232</v>
      </c>
      <c r="K159" s="447"/>
      <c r="L159" s="440" t="s">
        <v>253</v>
      </c>
      <c r="M159" s="432">
        <f t="shared" ref="M159" si="129">SUM(M155:M158)</f>
        <v>237</v>
      </c>
      <c r="N159" s="425">
        <f t="shared" ref="N159" si="130">M159/$H$84</f>
        <v>1.7173913043478262</v>
      </c>
      <c r="O159" s="433">
        <v>215</v>
      </c>
      <c r="P159" s="448"/>
      <c r="Q159" s="440" t="s">
        <v>253</v>
      </c>
      <c r="R159" s="432">
        <f t="shared" ref="R159" si="131">SUM(R155:R158)</f>
        <v>0</v>
      </c>
      <c r="S159" s="425">
        <f t="shared" ref="S159" si="132">R159/$H$84</f>
        <v>0</v>
      </c>
      <c r="T159" s="433">
        <v>0</v>
      </c>
    </row>
    <row r="160" spans="6:20">
      <c r="F160" s="564"/>
      <c r="G160" s="555" t="s">
        <v>256</v>
      </c>
      <c r="H160" s="555"/>
      <c r="I160" s="555"/>
      <c r="J160" s="556"/>
      <c r="K160" s="447"/>
      <c r="L160" s="555" t="s">
        <v>256</v>
      </c>
      <c r="M160" s="555"/>
      <c r="N160" s="555"/>
      <c r="O160" s="556"/>
      <c r="Q160" s="560" t="s">
        <v>256</v>
      </c>
      <c r="R160" s="555"/>
      <c r="S160" s="555"/>
      <c r="T160" s="556"/>
    </row>
    <row r="161" spans="6:20">
      <c r="F161" s="564"/>
      <c r="Q161" s="449"/>
    </row>
    <row r="162" spans="6:20">
      <c r="F162" s="564"/>
      <c r="G162" s="558" t="s">
        <v>254</v>
      </c>
      <c r="H162" s="558"/>
      <c r="I162" s="559"/>
      <c r="J162" s="434" t="s">
        <v>255</v>
      </c>
      <c r="L162" s="557" t="s">
        <v>254</v>
      </c>
      <c r="M162" s="558"/>
      <c r="N162" s="559"/>
      <c r="O162" s="434" t="s">
        <v>255</v>
      </c>
      <c r="P162" s="436"/>
      <c r="Q162" s="558" t="s">
        <v>254</v>
      </c>
      <c r="R162" s="558"/>
      <c r="S162" s="559"/>
      <c r="T162" s="434" t="s">
        <v>255</v>
      </c>
    </row>
    <row r="163" spans="6:20">
      <c r="F163" s="564"/>
      <c r="G163" s="437"/>
      <c r="H163" s="422" t="s">
        <v>31</v>
      </c>
      <c r="I163" s="422" t="s">
        <v>257</v>
      </c>
      <c r="J163" s="421"/>
      <c r="L163" s="421"/>
      <c r="M163" s="422" t="s">
        <v>54</v>
      </c>
      <c r="N163" s="422" t="s">
        <v>257</v>
      </c>
      <c r="O163" s="421"/>
      <c r="P163" s="436"/>
      <c r="Q163" s="437"/>
      <c r="R163" s="422" t="s">
        <v>58</v>
      </c>
      <c r="S163" s="422" t="s">
        <v>257</v>
      </c>
      <c r="T163" s="421"/>
    </row>
    <row r="164" spans="6:20">
      <c r="F164" s="564"/>
      <c r="G164" s="438" t="s">
        <v>73</v>
      </c>
      <c r="H164" s="424">
        <v>181</v>
      </c>
      <c r="I164" s="425">
        <f>H164/$H$168</f>
        <v>0.88725490196078427</v>
      </c>
      <c r="J164" s="426">
        <f>$J$168*I164</f>
        <v>185.43627450980392</v>
      </c>
      <c r="L164" s="423" t="s">
        <v>73</v>
      </c>
      <c r="M164" s="424">
        <v>0</v>
      </c>
      <c r="N164" s="425" t="e">
        <f>M164/$M$168</f>
        <v>#DIV/0!</v>
      </c>
      <c r="O164" s="426" t="e">
        <f>$O$168*N164</f>
        <v>#DIV/0!</v>
      </c>
      <c r="P164" s="436"/>
      <c r="Q164" s="438" t="s">
        <v>73</v>
      </c>
      <c r="R164" s="424">
        <v>0</v>
      </c>
      <c r="S164" s="425" t="e">
        <f>R164/$R$168</f>
        <v>#DIV/0!</v>
      </c>
      <c r="T164" s="426" t="e">
        <f>$T$168*S164</f>
        <v>#DIV/0!</v>
      </c>
    </row>
    <row r="165" spans="6:20">
      <c r="F165" s="564"/>
      <c r="G165" s="439" t="s">
        <v>74</v>
      </c>
      <c r="H165" s="428">
        <v>12</v>
      </c>
      <c r="I165" s="425">
        <f t="shared" ref="I165:I167" si="133">H165/$H$168</f>
        <v>5.8823529411764705E-2</v>
      </c>
      <c r="J165" s="426">
        <f t="shared" ref="J165:J167" si="134">$J$168*I165</f>
        <v>12.294117647058822</v>
      </c>
      <c r="L165" s="427" t="s">
        <v>74</v>
      </c>
      <c r="M165" s="428">
        <v>0</v>
      </c>
      <c r="N165" s="425" t="e">
        <f t="shared" ref="N165:N167" si="135">M165/$M$168</f>
        <v>#DIV/0!</v>
      </c>
      <c r="O165" s="426" t="e">
        <f t="shared" ref="O165:O167" si="136">$O$168*N165</f>
        <v>#DIV/0!</v>
      </c>
      <c r="P165" s="436"/>
      <c r="Q165" s="439" t="s">
        <v>74</v>
      </c>
      <c r="R165" s="428">
        <v>0</v>
      </c>
      <c r="S165" s="425" t="e">
        <f t="shared" ref="S165:S167" si="137">R165/$R$168</f>
        <v>#DIV/0!</v>
      </c>
      <c r="T165" s="426" t="e">
        <f t="shared" ref="T165:T167" si="138">$T$168*S165</f>
        <v>#DIV/0!</v>
      </c>
    </row>
    <row r="166" spans="6:20">
      <c r="F166" s="564"/>
      <c r="G166" s="439" t="s">
        <v>75</v>
      </c>
      <c r="H166" s="430">
        <v>8</v>
      </c>
      <c r="I166" s="425">
        <f t="shared" si="133"/>
        <v>3.9215686274509803E-2</v>
      </c>
      <c r="J166" s="426">
        <f t="shared" si="134"/>
        <v>8.1960784313725483</v>
      </c>
      <c r="L166" s="427" t="s">
        <v>75</v>
      </c>
      <c r="M166" s="430">
        <v>0</v>
      </c>
      <c r="N166" s="425" t="e">
        <f t="shared" si="135"/>
        <v>#DIV/0!</v>
      </c>
      <c r="O166" s="426" t="e">
        <f t="shared" si="136"/>
        <v>#DIV/0!</v>
      </c>
      <c r="P166" s="436"/>
      <c r="Q166" s="439" t="s">
        <v>75</v>
      </c>
      <c r="R166" s="430">
        <v>0</v>
      </c>
      <c r="S166" s="425" t="e">
        <f t="shared" si="137"/>
        <v>#DIV/0!</v>
      </c>
      <c r="T166" s="426" t="e">
        <f t="shared" si="138"/>
        <v>#DIV/0!</v>
      </c>
    </row>
    <row r="167" spans="6:20">
      <c r="F167" s="564"/>
      <c r="G167" s="439" t="s">
        <v>76</v>
      </c>
      <c r="H167" s="428">
        <v>3</v>
      </c>
      <c r="I167" s="425">
        <f t="shared" si="133"/>
        <v>1.4705882352941176E-2</v>
      </c>
      <c r="J167" s="426">
        <f t="shared" si="134"/>
        <v>3.0735294117647056</v>
      </c>
      <c r="L167" s="427" t="s">
        <v>76</v>
      </c>
      <c r="M167" s="428">
        <v>0</v>
      </c>
      <c r="N167" s="425" t="e">
        <f t="shared" si="135"/>
        <v>#DIV/0!</v>
      </c>
      <c r="O167" s="426" t="e">
        <f t="shared" si="136"/>
        <v>#DIV/0!</v>
      </c>
      <c r="P167" s="436"/>
      <c r="Q167" s="439" t="s">
        <v>76</v>
      </c>
      <c r="R167" s="428">
        <v>0</v>
      </c>
      <c r="S167" s="425" t="e">
        <f t="shared" si="137"/>
        <v>#DIV/0!</v>
      </c>
      <c r="T167" s="426" t="e">
        <f t="shared" si="138"/>
        <v>#DIV/0!</v>
      </c>
    </row>
    <row r="168" spans="6:20">
      <c r="F168" s="564"/>
      <c r="G168" s="440" t="s">
        <v>253</v>
      </c>
      <c r="H168" s="432">
        <f t="shared" ref="H168" si="139">SUM(H164:H167)</f>
        <v>204</v>
      </c>
      <c r="I168" s="425">
        <f t="shared" ref="I168" si="140">H168/$H$93</f>
        <v>2.72</v>
      </c>
      <c r="J168" s="433">
        <v>209</v>
      </c>
      <c r="L168" s="431" t="s">
        <v>253</v>
      </c>
      <c r="M168" s="432">
        <f t="shared" ref="M168" si="141">SUM(M164:M167)</f>
        <v>0</v>
      </c>
      <c r="N168" s="425">
        <f t="shared" ref="N168" si="142">M168/$H$84</f>
        <v>0</v>
      </c>
      <c r="O168" s="433">
        <v>0</v>
      </c>
      <c r="P168" s="436"/>
      <c r="Q168" s="440" t="s">
        <v>253</v>
      </c>
      <c r="R168" s="432">
        <f t="shared" ref="R168" si="143">SUM(R164:R167)</f>
        <v>0</v>
      </c>
      <c r="S168" s="425">
        <f t="shared" ref="S168" si="144">R168/$H$93</f>
        <v>0</v>
      </c>
      <c r="T168" s="433">
        <v>0</v>
      </c>
    </row>
    <row r="169" spans="6:20">
      <c r="F169" s="564"/>
      <c r="G169" s="555" t="s">
        <v>256</v>
      </c>
      <c r="H169" s="555"/>
      <c r="I169" s="555"/>
      <c r="J169" s="556"/>
      <c r="L169" s="560" t="s">
        <v>256</v>
      </c>
      <c r="M169" s="555"/>
      <c r="N169" s="555"/>
      <c r="O169" s="556"/>
      <c r="Q169" s="560" t="s">
        <v>256</v>
      </c>
      <c r="R169" s="555"/>
      <c r="S169" s="555"/>
      <c r="T169" s="556"/>
    </row>
    <row r="170" spans="6:20">
      <c r="F170" s="564"/>
    </row>
    <row r="171" spans="6:20">
      <c r="F171" s="564"/>
      <c r="G171" s="558" t="s">
        <v>254</v>
      </c>
      <c r="H171" s="558"/>
      <c r="I171" s="559"/>
      <c r="J171" s="434" t="s">
        <v>255</v>
      </c>
      <c r="L171" s="557" t="s">
        <v>254</v>
      </c>
      <c r="M171" s="558"/>
      <c r="N171" s="559"/>
      <c r="O171" s="434" t="s">
        <v>255</v>
      </c>
      <c r="Q171" s="557" t="s">
        <v>254</v>
      </c>
      <c r="R171" s="558"/>
      <c r="S171" s="559"/>
      <c r="T171" s="434" t="s">
        <v>255</v>
      </c>
    </row>
    <row r="172" spans="6:20">
      <c r="F172" s="564"/>
      <c r="G172" s="437"/>
      <c r="H172" s="422" t="s">
        <v>2</v>
      </c>
      <c r="I172" s="422" t="s">
        <v>257</v>
      </c>
      <c r="J172" s="421"/>
      <c r="L172" s="421"/>
      <c r="M172" s="422" t="s">
        <v>55</v>
      </c>
      <c r="N172" s="422" t="s">
        <v>257</v>
      </c>
      <c r="O172" s="421"/>
      <c r="Q172" s="421"/>
      <c r="R172" s="422" t="s">
        <v>59</v>
      </c>
      <c r="S172" s="422" t="s">
        <v>257</v>
      </c>
      <c r="T172" s="421"/>
    </row>
    <row r="173" spans="6:20">
      <c r="F173" s="564"/>
      <c r="G173" s="438" t="s">
        <v>73</v>
      </c>
      <c r="H173" s="424">
        <v>223</v>
      </c>
      <c r="I173" s="425">
        <f>H173/$H$177</f>
        <v>0.9065040650406504</v>
      </c>
      <c r="J173" s="426">
        <f>$J$177*I173</f>
        <v>192.17886178861789</v>
      </c>
      <c r="L173" s="423" t="s">
        <v>73</v>
      </c>
      <c r="M173" s="424">
        <v>0</v>
      </c>
      <c r="N173" s="425" t="e">
        <f>M173/$M$177</f>
        <v>#DIV/0!</v>
      </c>
      <c r="O173" s="426" t="e">
        <f>$O$177*N173</f>
        <v>#DIV/0!</v>
      </c>
      <c r="Q173" s="423" t="s">
        <v>73</v>
      </c>
      <c r="R173" s="424">
        <v>0</v>
      </c>
      <c r="S173" s="425" t="e">
        <f>R173/$R$177</f>
        <v>#DIV/0!</v>
      </c>
      <c r="T173" s="426" t="e">
        <f>$T$177*S173</f>
        <v>#DIV/0!</v>
      </c>
    </row>
    <row r="174" spans="6:20">
      <c r="F174" s="564"/>
      <c r="G174" s="439" t="s">
        <v>74</v>
      </c>
      <c r="H174" s="428">
        <v>12</v>
      </c>
      <c r="I174" s="425">
        <f t="shared" ref="I174:I176" si="145">H174/$H$177</f>
        <v>4.878048780487805E-2</v>
      </c>
      <c r="J174" s="426">
        <f t="shared" ref="J174:J176" si="146">$J$177*I174</f>
        <v>10.341463414634147</v>
      </c>
      <c r="L174" s="427" t="s">
        <v>74</v>
      </c>
      <c r="M174" s="428">
        <v>0</v>
      </c>
      <c r="N174" s="425" t="e">
        <f t="shared" ref="N174:N176" si="147">M174/$M$177</f>
        <v>#DIV/0!</v>
      </c>
      <c r="O174" s="426" t="e">
        <f t="shared" ref="O174:O176" si="148">$O$177*N174</f>
        <v>#DIV/0!</v>
      </c>
      <c r="Q174" s="427" t="s">
        <v>74</v>
      </c>
      <c r="R174" s="428">
        <v>0</v>
      </c>
      <c r="S174" s="425" t="e">
        <f t="shared" ref="S174:S176" si="149">R174/$R$177</f>
        <v>#DIV/0!</v>
      </c>
      <c r="T174" s="426" t="e">
        <f t="shared" ref="T174:T176" si="150">$T$177*S174</f>
        <v>#DIV/0!</v>
      </c>
    </row>
    <row r="175" spans="6:20">
      <c r="F175" s="564"/>
      <c r="G175" s="439" t="s">
        <v>75</v>
      </c>
      <c r="H175" s="430">
        <v>11</v>
      </c>
      <c r="I175" s="425">
        <f t="shared" si="145"/>
        <v>4.4715447154471545E-2</v>
      </c>
      <c r="J175" s="426">
        <f t="shared" si="146"/>
        <v>9.4796747967479682</v>
      </c>
      <c r="L175" s="427" t="s">
        <v>75</v>
      </c>
      <c r="M175" s="430">
        <v>0</v>
      </c>
      <c r="N175" s="425" t="e">
        <f t="shared" si="147"/>
        <v>#DIV/0!</v>
      </c>
      <c r="O175" s="426" t="e">
        <f t="shared" si="148"/>
        <v>#DIV/0!</v>
      </c>
      <c r="Q175" s="427" t="s">
        <v>75</v>
      </c>
      <c r="R175" s="430">
        <v>0</v>
      </c>
      <c r="S175" s="425" t="e">
        <f t="shared" si="149"/>
        <v>#DIV/0!</v>
      </c>
      <c r="T175" s="426" t="e">
        <f t="shared" si="150"/>
        <v>#DIV/0!</v>
      </c>
    </row>
    <row r="176" spans="6:20">
      <c r="F176" s="564"/>
      <c r="G176" s="439" t="s">
        <v>76</v>
      </c>
      <c r="H176" s="428">
        <v>0</v>
      </c>
      <c r="I176" s="425">
        <f t="shared" si="145"/>
        <v>0</v>
      </c>
      <c r="J176" s="426">
        <f t="shared" si="146"/>
        <v>0</v>
      </c>
      <c r="L176" s="427" t="s">
        <v>76</v>
      </c>
      <c r="M176" s="428">
        <v>0</v>
      </c>
      <c r="N176" s="425" t="e">
        <f t="shared" si="147"/>
        <v>#DIV/0!</v>
      </c>
      <c r="O176" s="426" t="e">
        <f t="shared" si="148"/>
        <v>#DIV/0!</v>
      </c>
      <c r="Q176" s="427" t="s">
        <v>76</v>
      </c>
      <c r="R176" s="428">
        <v>0</v>
      </c>
      <c r="S176" s="425" t="e">
        <f t="shared" si="149"/>
        <v>#DIV/0!</v>
      </c>
      <c r="T176" s="426" t="e">
        <f t="shared" si="150"/>
        <v>#DIV/0!</v>
      </c>
    </row>
    <row r="177" spans="6:20">
      <c r="F177" s="564"/>
      <c r="G177" s="440" t="s">
        <v>253</v>
      </c>
      <c r="H177" s="432">
        <f t="shared" ref="H177" si="151">SUM(H173:H176)</f>
        <v>246</v>
      </c>
      <c r="I177" s="425">
        <f t="shared" ref="I177" si="152">H177/$H$93</f>
        <v>3.28</v>
      </c>
      <c r="J177" s="433">
        <v>212</v>
      </c>
      <c r="L177" s="431" t="s">
        <v>253</v>
      </c>
      <c r="M177" s="432">
        <f t="shared" ref="M177" si="153">SUM(M173:M176)</f>
        <v>0</v>
      </c>
      <c r="N177" s="425">
        <f t="shared" ref="N177" si="154">M177/$H$93</f>
        <v>0</v>
      </c>
      <c r="O177" s="433">
        <v>0</v>
      </c>
      <c r="Q177" s="431" t="s">
        <v>253</v>
      </c>
      <c r="R177" s="432">
        <f t="shared" ref="R177" si="155">SUM(R173:R176)</f>
        <v>0</v>
      </c>
      <c r="S177" s="425">
        <f t="shared" ref="S177" si="156">R177/$H$93</f>
        <v>0</v>
      </c>
      <c r="T177" s="433">
        <v>0</v>
      </c>
    </row>
    <row r="178" spans="6:20">
      <c r="F178" s="564"/>
      <c r="G178" s="555" t="s">
        <v>256</v>
      </c>
      <c r="H178" s="555"/>
      <c r="I178" s="555"/>
      <c r="J178" s="556"/>
      <c r="L178" s="560" t="s">
        <v>256</v>
      </c>
      <c r="M178" s="555"/>
      <c r="N178" s="555"/>
      <c r="O178" s="556"/>
      <c r="Q178" s="560" t="s">
        <v>256</v>
      </c>
      <c r="R178" s="555"/>
      <c r="S178" s="555"/>
      <c r="T178" s="556"/>
    </row>
    <row r="179" spans="6:20">
      <c r="F179" s="564"/>
    </row>
    <row r="180" spans="6:20">
      <c r="F180" s="564"/>
      <c r="G180" s="558" t="s">
        <v>254</v>
      </c>
      <c r="H180" s="558"/>
      <c r="I180" s="559"/>
      <c r="J180" s="434" t="s">
        <v>255</v>
      </c>
      <c r="K180" s="447"/>
      <c r="L180" s="558" t="s">
        <v>254</v>
      </c>
      <c r="M180" s="558"/>
      <c r="N180" s="559"/>
      <c r="O180" s="434" t="s">
        <v>255</v>
      </c>
      <c r="P180" s="448"/>
      <c r="Q180" s="558" t="s">
        <v>254</v>
      </c>
      <c r="R180" s="558"/>
      <c r="S180" s="559"/>
      <c r="T180" s="434" t="s">
        <v>255</v>
      </c>
    </row>
    <row r="181" spans="6:20">
      <c r="F181" s="564"/>
      <c r="G181" s="437"/>
      <c r="H181" s="422" t="s">
        <v>32</v>
      </c>
      <c r="I181" s="422" t="s">
        <v>257</v>
      </c>
      <c r="J181" s="421"/>
      <c r="K181" s="447"/>
      <c r="L181" s="437"/>
      <c r="M181" s="422" t="s">
        <v>56</v>
      </c>
      <c r="N181" s="422" t="s">
        <v>257</v>
      </c>
      <c r="O181" s="421"/>
      <c r="P181" s="448"/>
      <c r="Q181" s="437"/>
      <c r="R181" s="422" t="s">
        <v>60</v>
      </c>
      <c r="S181" s="422" t="s">
        <v>257</v>
      </c>
      <c r="T181" s="421"/>
    </row>
    <row r="182" spans="6:20">
      <c r="F182" s="564"/>
      <c r="G182" s="438" t="s">
        <v>73</v>
      </c>
      <c r="H182" s="424">
        <v>202</v>
      </c>
      <c r="I182" s="425">
        <f>H182/$H$186</f>
        <v>0.87068965517241381</v>
      </c>
      <c r="J182" s="426">
        <f>$J$186*I182</f>
        <v>194.16379310344828</v>
      </c>
      <c r="K182" s="447"/>
      <c r="L182" s="438" t="s">
        <v>73</v>
      </c>
      <c r="M182" s="424">
        <v>0</v>
      </c>
      <c r="N182" s="425" t="e">
        <f>M182/$M$186</f>
        <v>#DIV/0!</v>
      </c>
      <c r="O182" s="426" t="e">
        <f>$O$186*N182</f>
        <v>#DIV/0!</v>
      </c>
      <c r="P182" s="448"/>
      <c r="Q182" s="438" t="s">
        <v>73</v>
      </c>
      <c r="R182" s="424">
        <v>0</v>
      </c>
      <c r="S182" s="425" t="e">
        <f>R182/$R$186</f>
        <v>#DIV/0!</v>
      </c>
      <c r="T182" s="426" t="e">
        <f>$T$186*S182</f>
        <v>#DIV/0!</v>
      </c>
    </row>
    <row r="183" spans="6:20">
      <c r="F183" s="564"/>
      <c r="G183" s="439" t="s">
        <v>74</v>
      </c>
      <c r="H183" s="428">
        <v>24</v>
      </c>
      <c r="I183" s="425">
        <f t="shared" ref="I183:I185" si="157">H183/$H$186</f>
        <v>0.10344827586206896</v>
      </c>
      <c r="J183" s="426">
        <f t="shared" ref="J183:J185" si="158">$J$186*I183</f>
        <v>23.068965517241377</v>
      </c>
      <c r="K183" s="447"/>
      <c r="L183" s="439" t="s">
        <v>74</v>
      </c>
      <c r="M183" s="428">
        <v>0</v>
      </c>
      <c r="N183" s="425" t="e">
        <f t="shared" ref="N183:N185" si="159">M183/$M$186</f>
        <v>#DIV/0!</v>
      </c>
      <c r="O183" s="426" t="e">
        <f t="shared" ref="O183:O185" si="160">$O$186*N183</f>
        <v>#DIV/0!</v>
      </c>
      <c r="P183" s="448"/>
      <c r="Q183" s="439" t="s">
        <v>74</v>
      </c>
      <c r="R183" s="428">
        <v>0</v>
      </c>
      <c r="S183" s="425" t="e">
        <f t="shared" ref="S183:S185" si="161">R183/$R$186</f>
        <v>#DIV/0!</v>
      </c>
      <c r="T183" s="426" t="e">
        <f t="shared" ref="T183:T185" si="162">$T$186*S183</f>
        <v>#DIV/0!</v>
      </c>
    </row>
    <row r="184" spans="6:20">
      <c r="F184" s="564"/>
      <c r="G184" s="439" t="s">
        <v>75</v>
      </c>
      <c r="H184" s="430">
        <v>2</v>
      </c>
      <c r="I184" s="425">
        <f t="shared" si="157"/>
        <v>8.6206896551724137E-3</v>
      </c>
      <c r="J184" s="426">
        <f t="shared" si="158"/>
        <v>1.9224137931034482</v>
      </c>
      <c r="K184" s="447"/>
      <c r="L184" s="439" t="s">
        <v>75</v>
      </c>
      <c r="M184" s="430">
        <v>0</v>
      </c>
      <c r="N184" s="425" t="e">
        <f t="shared" si="159"/>
        <v>#DIV/0!</v>
      </c>
      <c r="O184" s="426" t="e">
        <f>$O$186*N184</f>
        <v>#DIV/0!</v>
      </c>
      <c r="P184" s="448"/>
      <c r="Q184" s="439" t="s">
        <v>75</v>
      </c>
      <c r="R184" s="430">
        <v>0</v>
      </c>
      <c r="S184" s="425" t="e">
        <f t="shared" si="161"/>
        <v>#DIV/0!</v>
      </c>
      <c r="T184" s="426" t="e">
        <f t="shared" si="162"/>
        <v>#DIV/0!</v>
      </c>
    </row>
    <row r="185" spans="6:20">
      <c r="F185" s="564"/>
      <c r="G185" s="439" t="s">
        <v>76</v>
      </c>
      <c r="H185" s="428">
        <v>4</v>
      </c>
      <c r="I185" s="425">
        <f t="shared" si="157"/>
        <v>1.7241379310344827E-2</v>
      </c>
      <c r="J185" s="426">
        <f t="shared" si="158"/>
        <v>3.8448275862068964</v>
      </c>
      <c r="K185" s="447"/>
      <c r="L185" s="439" t="s">
        <v>76</v>
      </c>
      <c r="M185" s="428">
        <v>0</v>
      </c>
      <c r="N185" s="425" t="e">
        <f t="shared" si="159"/>
        <v>#DIV/0!</v>
      </c>
      <c r="O185" s="426" t="e">
        <f t="shared" si="160"/>
        <v>#DIV/0!</v>
      </c>
      <c r="P185" s="448"/>
      <c r="Q185" s="439" t="s">
        <v>76</v>
      </c>
      <c r="R185" s="428">
        <v>0</v>
      </c>
      <c r="S185" s="425" t="e">
        <f t="shared" si="161"/>
        <v>#DIV/0!</v>
      </c>
      <c r="T185" s="426" t="e">
        <f t="shared" si="162"/>
        <v>#DIV/0!</v>
      </c>
    </row>
    <row r="186" spans="6:20">
      <c r="F186" s="564"/>
      <c r="G186" s="440" t="s">
        <v>253</v>
      </c>
      <c r="H186" s="432">
        <f t="shared" ref="H186" si="163">SUM(H182:H185)</f>
        <v>232</v>
      </c>
      <c r="I186" s="425">
        <f t="shared" ref="I186" si="164">H186/$H$111</f>
        <v>1.8267716535433072</v>
      </c>
      <c r="J186" s="426">
        <v>223</v>
      </c>
      <c r="K186" s="447"/>
      <c r="L186" s="440" t="s">
        <v>253</v>
      </c>
      <c r="M186" s="432">
        <f t="shared" ref="M186" si="165">SUM(M182:M185)</f>
        <v>0</v>
      </c>
      <c r="N186" s="425">
        <f t="shared" ref="N186" si="166">M186/$H$93</f>
        <v>0</v>
      </c>
      <c r="O186" s="433">
        <v>0</v>
      </c>
      <c r="P186" s="448"/>
      <c r="Q186" s="440" t="s">
        <v>253</v>
      </c>
      <c r="R186" s="432">
        <f t="shared" ref="R186" si="167">SUM(R182:R185)</f>
        <v>0</v>
      </c>
      <c r="S186" s="425">
        <f t="shared" ref="S186" si="168">R186/$H$111</f>
        <v>0</v>
      </c>
      <c r="T186" s="426">
        <v>0</v>
      </c>
    </row>
    <row r="187" spans="6:20" ht="14.95" thickBot="1">
      <c r="F187" s="565"/>
      <c r="G187" s="555" t="s">
        <v>256</v>
      </c>
      <c r="H187" s="555"/>
      <c r="I187" s="555"/>
      <c r="J187" s="556"/>
      <c r="K187" s="447"/>
      <c r="L187" s="555" t="s">
        <v>256</v>
      </c>
      <c r="M187" s="555"/>
      <c r="N187" s="555"/>
      <c r="O187" s="556"/>
      <c r="P187" s="448"/>
      <c r="Q187" s="555" t="s">
        <v>256</v>
      </c>
      <c r="R187" s="555"/>
      <c r="S187" s="555"/>
      <c r="T187" s="556"/>
    </row>
  </sheetData>
  <customSheetViews>
    <customSheetView guid="{735276B6-8B53-4447-B7C2-CBEDAEBC1390}" showPageBreaks="1" showGridLines="0" printArea="1" view="pageBreakPreview" topLeftCell="A31">
      <selection activeCell="G44" sqref="G44"/>
      <pageMargins left="0.39370078740157483" right="0.39370078740157483" top="0.86614173228346458" bottom="0" header="0.31496062992125984" footer="0.31496062992125984"/>
      <printOptions horizontalCentered="1"/>
      <pageSetup paperSize="9" scale="56" orientation="landscape" r:id="rId1"/>
      <headerFooter>
        <oddHeader>&amp;L&amp;G&amp;CProntos Socorros Municipais de Taboão da Serra - SPDM - Associação Paulista do desenvolvimento da Medicina&amp;R&amp;G</oddHeader>
        <oddFooter>&amp;R2</oddFooter>
      </headerFooter>
    </customSheetView>
  </customSheetViews>
  <mergeCells count="94">
    <mergeCell ref="G187:J187"/>
    <mergeCell ref="L187:O187"/>
    <mergeCell ref="Q187:T187"/>
    <mergeCell ref="Q171:S171"/>
    <mergeCell ref="G178:J178"/>
    <mergeCell ref="L178:O178"/>
    <mergeCell ref="Q178:T178"/>
    <mergeCell ref="G180:I180"/>
    <mergeCell ref="L180:N180"/>
    <mergeCell ref="Q180:S180"/>
    <mergeCell ref="G152:T152"/>
    <mergeCell ref="F153:F187"/>
    <mergeCell ref="G153:I153"/>
    <mergeCell ref="L153:N153"/>
    <mergeCell ref="Q153:S153"/>
    <mergeCell ref="G160:J160"/>
    <mergeCell ref="L160:O160"/>
    <mergeCell ref="Q160:T160"/>
    <mergeCell ref="G162:I162"/>
    <mergeCell ref="L162:N162"/>
    <mergeCell ref="Q162:S162"/>
    <mergeCell ref="G169:J169"/>
    <mergeCell ref="L169:O169"/>
    <mergeCell ref="Q169:T169"/>
    <mergeCell ref="G171:I171"/>
    <mergeCell ref="L171:N171"/>
    <mergeCell ref="A2:O2"/>
    <mergeCell ref="B3:P3"/>
    <mergeCell ref="A45:O45"/>
    <mergeCell ref="A4:A9"/>
    <mergeCell ref="A18:A22"/>
    <mergeCell ref="A39:A43"/>
    <mergeCell ref="A11:A16"/>
    <mergeCell ref="A10:P10"/>
    <mergeCell ref="C17:F17"/>
    <mergeCell ref="A24:A29"/>
    <mergeCell ref="B79:D79"/>
    <mergeCell ref="A31:A36"/>
    <mergeCell ref="A23:P23"/>
    <mergeCell ref="C37:F37"/>
    <mergeCell ref="C64:F64"/>
    <mergeCell ref="G78:I78"/>
    <mergeCell ref="G85:J85"/>
    <mergeCell ref="G87:I87"/>
    <mergeCell ref="G94:J94"/>
    <mergeCell ref="G96:I96"/>
    <mergeCell ref="G103:J103"/>
    <mergeCell ref="L94:O94"/>
    <mergeCell ref="L96:N96"/>
    <mergeCell ref="L103:O103"/>
    <mergeCell ref="L105:N105"/>
    <mergeCell ref="L112:O112"/>
    <mergeCell ref="Q103:T103"/>
    <mergeCell ref="Q105:S105"/>
    <mergeCell ref="Q112:T112"/>
    <mergeCell ref="A79:A85"/>
    <mergeCell ref="G77:T77"/>
    <mergeCell ref="Q78:S78"/>
    <mergeCell ref="Q85:T85"/>
    <mergeCell ref="Q87:S87"/>
    <mergeCell ref="Q94:T94"/>
    <mergeCell ref="Q96:S96"/>
    <mergeCell ref="G105:I105"/>
    <mergeCell ref="G112:J112"/>
    <mergeCell ref="F78:F112"/>
    <mergeCell ref="L78:N78"/>
    <mergeCell ref="L85:O85"/>
    <mergeCell ref="L87:N87"/>
    <mergeCell ref="G115:T115"/>
    <mergeCell ref="F116:F150"/>
    <mergeCell ref="G116:I116"/>
    <mergeCell ref="L116:N116"/>
    <mergeCell ref="Q116:S116"/>
    <mergeCell ref="G123:J123"/>
    <mergeCell ref="L123:O123"/>
    <mergeCell ref="Q123:T123"/>
    <mergeCell ref="G125:I125"/>
    <mergeCell ref="L125:N125"/>
    <mergeCell ref="Q125:S125"/>
    <mergeCell ref="G132:J132"/>
    <mergeCell ref="L132:O132"/>
    <mergeCell ref="Q132:T132"/>
    <mergeCell ref="G134:I134"/>
    <mergeCell ref="L134:N134"/>
    <mergeCell ref="G150:J150"/>
    <mergeCell ref="L150:O150"/>
    <mergeCell ref="Q150:T150"/>
    <mergeCell ref="Q134:S134"/>
    <mergeCell ref="G141:J141"/>
    <mergeCell ref="L141:O141"/>
    <mergeCell ref="Q141:T141"/>
    <mergeCell ref="G143:I143"/>
    <mergeCell ref="L143:N143"/>
    <mergeCell ref="Q143:S143"/>
  </mergeCells>
  <printOptions horizontalCentered="1" verticalCentered="1"/>
  <pageMargins left="0" right="0" top="0.6692913385826772" bottom="0" header="0.31496062992125984" footer="0.31496062992125984"/>
  <pageSetup paperSize="9" scale="49" orientation="landscape" r:id="rId2"/>
  <headerFooter>
    <oddHeader>&amp;L&amp;G&amp;C&amp;"-,Negrito"Prontos Socorros Municipais de Taboão da Serra 
SPDM - Associação Paulista para o Desenvolvimento da Medicina&amp;R&amp;G</oddHeader>
    <oddFooter>&amp;R3</oddFooter>
  </headerFooter>
  <rowBreaks count="2" manualBreakCount="2">
    <brk id="13" max="16383" man="1"/>
    <brk id="71" max="15" man="1"/>
  </rowBreaks>
  <colBreaks count="1" manualBreakCount="1">
    <brk id="16" max="1048575" man="1"/>
  </colBreaks>
  <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AC120"/>
  <sheetViews>
    <sheetView view="pageBreakPreview" zoomScaleNormal="100" zoomScaleSheetLayoutView="100" zoomScalePageLayoutView="90" workbookViewId="0">
      <selection activeCell="AD9" sqref="AD9"/>
    </sheetView>
  </sheetViews>
  <sheetFormatPr defaultColWidth="9.125" defaultRowHeight="11.55"/>
  <cols>
    <col min="1" max="1" width="5.875" style="144" bestFit="1" customWidth="1"/>
    <col min="2" max="2" width="26" style="143" customWidth="1"/>
    <col min="3" max="6" width="6.375" style="144" customWidth="1"/>
    <col min="7" max="7" width="5.875" style="144" customWidth="1"/>
    <col min="8" max="8" width="6.625" style="144" bestFit="1" customWidth="1"/>
    <col min="9" max="9" width="6.125" style="144" customWidth="1"/>
    <col min="10" max="10" width="6.625" style="144" bestFit="1" customWidth="1"/>
    <col min="11" max="11" width="6.125" style="144" customWidth="1"/>
    <col min="12" max="12" width="5.875" style="144" customWidth="1"/>
    <col min="13" max="13" width="4.875" style="144" customWidth="1"/>
    <col min="14" max="14" width="6.75" style="144" bestFit="1" customWidth="1"/>
    <col min="15" max="15" width="4.875" style="144" customWidth="1"/>
    <col min="16" max="16" width="7.125" style="144" bestFit="1" customWidth="1"/>
    <col min="17" max="17" width="5.75" style="144" customWidth="1"/>
    <col min="18" max="18" width="6.625" style="144" bestFit="1" customWidth="1"/>
    <col min="19" max="19" width="4.875" style="144" customWidth="1"/>
    <col min="20" max="20" width="6.625" style="144" bestFit="1" customWidth="1"/>
    <col min="21" max="21" width="4.875" style="144" customWidth="1"/>
    <col min="22" max="22" width="6.625" style="144" bestFit="1" customWidth="1"/>
    <col min="23" max="23" width="4.875" style="144" customWidth="1"/>
    <col min="24" max="24" width="6.625" style="144" bestFit="1" customWidth="1"/>
    <col min="25" max="25" width="4.875" style="144" customWidth="1"/>
    <col min="26" max="26" width="6.875" style="144" customWidth="1"/>
    <col min="27" max="27" width="6.375" style="144" customWidth="1"/>
    <col min="28" max="28" width="8.25" style="144" customWidth="1"/>
    <col min="29" max="29" width="9.25" style="145" bestFit="1" customWidth="1"/>
    <col min="30" max="16384" width="9.125" style="144"/>
  </cols>
  <sheetData>
    <row r="1" spans="1:29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</row>
    <row r="2" spans="1:29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</row>
    <row r="3" spans="1:29" ht="12.25" thickBot="1">
      <c r="A3" s="620"/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</row>
    <row r="4" spans="1:29" ht="15.8" customHeight="1" thickBot="1">
      <c r="A4" s="617" t="s">
        <v>170</v>
      </c>
      <c r="B4" s="611" t="s">
        <v>193</v>
      </c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3"/>
    </row>
    <row r="5" spans="1:29" ht="12.25" thickBot="1">
      <c r="A5" s="618"/>
      <c r="B5" s="146" t="s">
        <v>141</v>
      </c>
      <c r="C5" s="599" t="s">
        <v>61</v>
      </c>
      <c r="D5" s="599"/>
      <c r="E5" s="599" t="s">
        <v>62</v>
      </c>
      <c r="F5" s="599"/>
      <c r="G5" s="599" t="s">
        <v>63</v>
      </c>
      <c r="H5" s="599"/>
      <c r="I5" s="599" t="s">
        <v>64</v>
      </c>
      <c r="J5" s="599"/>
      <c r="K5" s="599" t="s">
        <v>65</v>
      </c>
      <c r="L5" s="599"/>
      <c r="M5" s="599" t="s">
        <v>66</v>
      </c>
      <c r="N5" s="599"/>
      <c r="O5" s="599" t="s">
        <v>95</v>
      </c>
      <c r="P5" s="599"/>
      <c r="Q5" s="599" t="s">
        <v>102</v>
      </c>
      <c r="R5" s="599"/>
      <c r="S5" s="599" t="s">
        <v>103</v>
      </c>
      <c r="T5" s="599"/>
      <c r="U5" s="599" t="s">
        <v>104</v>
      </c>
      <c r="V5" s="599"/>
      <c r="W5" s="599" t="s">
        <v>105</v>
      </c>
      <c r="X5" s="599"/>
      <c r="Y5" s="599" t="s">
        <v>106</v>
      </c>
      <c r="Z5" s="599"/>
      <c r="AA5" s="599" t="s">
        <v>37</v>
      </c>
      <c r="AB5" s="599"/>
      <c r="AC5" s="147" t="s">
        <v>17</v>
      </c>
    </row>
    <row r="6" spans="1:29" ht="13.6">
      <c r="A6" s="608" t="s">
        <v>18</v>
      </c>
      <c r="B6" s="148" t="s">
        <v>78</v>
      </c>
      <c r="C6" s="149">
        <v>31</v>
      </c>
      <c r="D6" s="150">
        <f>IFERROR(C6/C$10,"-")</f>
        <v>0.60784313725490191</v>
      </c>
      <c r="E6" s="149">
        <v>31</v>
      </c>
      <c r="F6" s="150">
        <f>IFERROR(E6/E$10,"-")</f>
        <v>0.67391304347826086</v>
      </c>
      <c r="G6" s="149">
        <v>31</v>
      </c>
      <c r="H6" s="150">
        <f>IFERROR(G6/G$10,"-")</f>
        <v>0.54385964912280704</v>
      </c>
      <c r="I6" s="149">
        <v>42</v>
      </c>
      <c r="J6" s="150">
        <f>IFERROR(I6/I$10,"-")</f>
        <v>0.65625</v>
      </c>
      <c r="K6" s="149">
        <v>28</v>
      </c>
      <c r="L6" s="150">
        <f>IFERROR(K6/K$10,"-")</f>
        <v>0.58333333333333337</v>
      </c>
      <c r="M6" s="149">
        <v>0</v>
      </c>
      <c r="N6" s="150" t="str">
        <f>IFERROR(M6/M$10,"-")</f>
        <v>-</v>
      </c>
      <c r="O6" s="149">
        <v>0</v>
      </c>
      <c r="P6" s="150" t="str">
        <f>IFERROR(O6/O$10,"-")</f>
        <v>-</v>
      </c>
      <c r="Q6" s="149">
        <v>0</v>
      </c>
      <c r="R6" s="150" t="str">
        <f>IFERROR(Q6/Q$10,"-")</f>
        <v>-</v>
      </c>
      <c r="S6" s="149">
        <v>0</v>
      </c>
      <c r="T6" s="150" t="str">
        <f>IFERROR(S6/S$10,"-")</f>
        <v>-</v>
      </c>
      <c r="U6" s="149">
        <v>0</v>
      </c>
      <c r="V6" s="150" t="str">
        <f>IFERROR(U6/U$10,"-")</f>
        <v>-</v>
      </c>
      <c r="W6" s="149">
        <v>0</v>
      </c>
      <c r="X6" s="150" t="str">
        <f>IFERROR(W6/W$10,"-")</f>
        <v>-</v>
      </c>
      <c r="Y6" s="149">
        <v>0</v>
      </c>
      <c r="Z6" s="150" t="str">
        <f>IFERROR(Y6/Y$10,"-")</f>
        <v>-</v>
      </c>
      <c r="AA6" s="268">
        <f>SUM(Y6,W6,U6,S6,Q6,O6,M6,K6,I6,G6,E6,C6)</f>
        <v>163</v>
      </c>
      <c r="AB6" s="269">
        <f>IFERROR(AA6/$AA$10,0)</f>
        <v>0.61278195488721809</v>
      </c>
      <c r="AC6" s="270">
        <f>IFERROR(AVERAGE(C6,E6,G6,I6,K6,M6,O6,Q6,S6,U6,W6,Y6),0)</f>
        <v>13.583333333333334</v>
      </c>
    </row>
    <row r="7" spans="1:29" ht="13.6">
      <c r="A7" s="609"/>
      <c r="B7" s="148" t="s">
        <v>185</v>
      </c>
      <c r="C7" s="149">
        <v>0</v>
      </c>
      <c r="D7" s="150">
        <f>IFERROR(C7/C$10,"-")</f>
        <v>0</v>
      </c>
      <c r="E7" s="149">
        <v>0</v>
      </c>
      <c r="F7" s="150">
        <f t="shared" ref="F7:H9" si="0">IFERROR(E7/E$10,"-")</f>
        <v>0</v>
      </c>
      <c r="G7" s="149">
        <v>0</v>
      </c>
      <c r="H7" s="150">
        <f t="shared" si="0"/>
        <v>0</v>
      </c>
      <c r="I7" s="149">
        <v>1</v>
      </c>
      <c r="J7" s="150">
        <f t="shared" ref="J7:N9" si="1">IFERROR(I7/I$10,"-")</f>
        <v>1.5625E-2</v>
      </c>
      <c r="K7" s="149">
        <v>1</v>
      </c>
      <c r="L7" s="150">
        <f t="shared" si="1"/>
        <v>2.0833333333333332E-2</v>
      </c>
      <c r="M7" s="149">
        <v>0</v>
      </c>
      <c r="N7" s="150" t="str">
        <f t="shared" si="1"/>
        <v>-</v>
      </c>
      <c r="O7" s="149">
        <v>0</v>
      </c>
      <c r="P7" s="150" t="str">
        <f>IFERROR(O7/O$10,"-")</f>
        <v>-</v>
      </c>
      <c r="Q7" s="149">
        <v>0</v>
      </c>
      <c r="R7" s="150" t="str">
        <f t="shared" ref="R7:T9" si="2">IFERROR(Q7/Q$10,"-")</f>
        <v>-</v>
      </c>
      <c r="S7" s="149">
        <v>0</v>
      </c>
      <c r="T7" s="150" t="str">
        <f t="shared" si="2"/>
        <v>-</v>
      </c>
      <c r="U7" s="149">
        <v>0</v>
      </c>
      <c r="V7" s="150" t="str">
        <f>IFERROR(U7/U$10,"-")</f>
        <v>-</v>
      </c>
      <c r="W7" s="149">
        <v>0</v>
      </c>
      <c r="X7" s="150" t="str">
        <f>IFERROR(W7/W$10,"-")</f>
        <v>-</v>
      </c>
      <c r="Y7" s="149">
        <v>0</v>
      </c>
      <c r="Z7" s="150" t="str">
        <f>IFERROR(Y7/Y$10,"-")</f>
        <v>-</v>
      </c>
      <c r="AA7" s="268">
        <f>SUM(Y7,W7,U7,S7,Q7,O7,M7,K7,I7,G7,E7,C7)</f>
        <v>2</v>
      </c>
      <c r="AB7" s="269">
        <f>IFERROR(AA7/$AA$10,0)</f>
        <v>7.5187969924812026E-3</v>
      </c>
      <c r="AC7" s="270">
        <f>IFERROR(AVERAGE(C7,E7,G7,I7,K7,M7,O7,Q7,S7,U7,W7,Y7),0)</f>
        <v>0.16666666666666666</v>
      </c>
    </row>
    <row r="8" spans="1:29" ht="14.95" customHeight="1">
      <c r="A8" s="609"/>
      <c r="B8" s="148" t="s">
        <v>79</v>
      </c>
      <c r="C8" s="149">
        <v>20</v>
      </c>
      <c r="D8" s="150">
        <f>IFERROR(C8/C$10,"-")</f>
        <v>0.39215686274509803</v>
      </c>
      <c r="E8" s="149">
        <v>14</v>
      </c>
      <c r="F8" s="150">
        <f t="shared" si="0"/>
        <v>0.30434782608695654</v>
      </c>
      <c r="G8" s="149">
        <v>26</v>
      </c>
      <c r="H8" s="150">
        <f t="shared" si="0"/>
        <v>0.45614035087719296</v>
      </c>
      <c r="I8" s="149">
        <v>20</v>
      </c>
      <c r="J8" s="150">
        <f t="shared" si="1"/>
        <v>0.3125</v>
      </c>
      <c r="K8" s="149">
        <v>18</v>
      </c>
      <c r="L8" s="150">
        <f t="shared" si="1"/>
        <v>0.375</v>
      </c>
      <c r="M8" s="149">
        <v>0</v>
      </c>
      <c r="N8" s="150" t="str">
        <f t="shared" si="1"/>
        <v>-</v>
      </c>
      <c r="O8" s="149">
        <v>0</v>
      </c>
      <c r="P8" s="150" t="str">
        <f>IFERROR(O8/O$10,"-")</f>
        <v>-</v>
      </c>
      <c r="Q8" s="149">
        <v>0</v>
      </c>
      <c r="R8" s="150" t="str">
        <f t="shared" si="2"/>
        <v>-</v>
      </c>
      <c r="S8" s="149">
        <v>0</v>
      </c>
      <c r="T8" s="150" t="str">
        <f t="shared" si="2"/>
        <v>-</v>
      </c>
      <c r="U8" s="149">
        <v>0</v>
      </c>
      <c r="V8" s="150" t="str">
        <f>IFERROR(U8/U$10,"-")</f>
        <v>-</v>
      </c>
      <c r="W8" s="149">
        <v>0</v>
      </c>
      <c r="X8" s="150" t="str">
        <f>IFERROR(W8/W$10,"-")</f>
        <v>-</v>
      </c>
      <c r="Y8" s="149">
        <v>0</v>
      </c>
      <c r="Z8" s="150" t="str">
        <f>IFERROR(Y8/Y$10,"-")</f>
        <v>-</v>
      </c>
      <c r="AA8" s="268">
        <f>SUM(Y8,W8,U8,S8,Q8,O8,M8,K8,I8,G8,E8,C8)</f>
        <v>98</v>
      </c>
      <c r="AB8" s="269">
        <f>IFERROR(AA8/$AA$10,0)</f>
        <v>0.36842105263157893</v>
      </c>
      <c r="AC8" s="270">
        <f>IFERROR(AVERAGE(C8,E8,G8,I8,K8,M8,O8,Q8,S8,U8,W8,Y8),0)</f>
        <v>8.1666666666666661</v>
      </c>
    </row>
    <row r="9" spans="1:29" ht="14.95" customHeight="1">
      <c r="A9" s="609"/>
      <c r="B9" s="148" t="s">
        <v>142</v>
      </c>
      <c r="C9" s="149">
        <v>0</v>
      </c>
      <c r="D9" s="150">
        <f>IFERROR(C9/C$10,"-")</f>
        <v>0</v>
      </c>
      <c r="E9" s="149">
        <v>1</v>
      </c>
      <c r="F9" s="150">
        <f t="shared" si="0"/>
        <v>2.1739130434782608E-2</v>
      </c>
      <c r="G9" s="149">
        <v>0</v>
      </c>
      <c r="H9" s="150">
        <f t="shared" si="0"/>
        <v>0</v>
      </c>
      <c r="I9" s="149">
        <v>1</v>
      </c>
      <c r="J9" s="150">
        <f t="shared" si="1"/>
        <v>1.5625E-2</v>
      </c>
      <c r="K9" s="149">
        <v>1</v>
      </c>
      <c r="L9" s="150">
        <f t="shared" si="1"/>
        <v>2.0833333333333332E-2</v>
      </c>
      <c r="M9" s="149">
        <v>0</v>
      </c>
      <c r="N9" s="150" t="str">
        <f t="shared" si="1"/>
        <v>-</v>
      </c>
      <c r="O9" s="149">
        <v>0</v>
      </c>
      <c r="P9" s="150" t="str">
        <f>IFERROR(O9/O$10,"-")</f>
        <v>-</v>
      </c>
      <c r="Q9" s="149">
        <v>0</v>
      </c>
      <c r="R9" s="150" t="str">
        <f t="shared" si="2"/>
        <v>-</v>
      </c>
      <c r="S9" s="149">
        <v>0</v>
      </c>
      <c r="T9" s="150" t="str">
        <f t="shared" si="2"/>
        <v>-</v>
      </c>
      <c r="U9" s="149">
        <v>0</v>
      </c>
      <c r="V9" s="150" t="str">
        <f>IFERROR(U9/U$10,"-")</f>
        <v>-</v>
      </c>
      <c r="W9" s="149">
        <v>0</v>
      </c>
      <c r="X9" s="150" t="str">
        <f>IFERROR(W9/W$10,"-")</f>
        <v>-</v>
      </c>
      <c r="Y9" s="149">
        <v>0</v>
      </c>
      <c r="Z9" s="150" t="str">
        <f>IFERROR(Y9/Y$10,"-")</f>
        <v>-</v>
      </c>
      <c r="AA9" s="268">
        <f>SUM(Y9,W9,U9,S9,Q9,O9,M9,K9,I9,G9,E9,C9)</f>
        <v>3</v>
      </c>
      <c r="AB9" s="269">
        <f>IFERROR(AA9/$AA$10,0)</f>
        <v>1.1278195488721804E-2</v>
      </c>
      <c r="AC9" s="270">
        <f>IFERROR(AVERAGE(C9,E9,G9,I9,K9,M9,O9,Q9,S9,U9,W9,Y9),0)</f>
        <v>0.25</v>
      </c>
    </row>
    <row r="10" spans="1:29" ht="14.95" customHeight="1">
      <c r="A10" s="609"/>
      <c r="B10" s="151" t="s">
        <v>80</v>
      </c>
      <c r="C10" s="152">
        <f t="shared" ref="C10:AC10" si="3">SUM(C6:C9)</f>
        <v>51</v>
      </c>
      <c r="D10" s="153">
        <f t="shared" si="3"/>
        <v>1</v>
      </c>
      <c r="E10" s="152">
        <f t="shared" si="3"/>
        <v>46</v>
      </c>
      <c r="F10" s="153">
        <f t="shared" si="3"/>
        <v>1</v>
      </c>
      <c r="G10" s="152">
        <f t="shared" si="3"/>
        <v>57</v>
      </c>
      <c r="H10" s="153">
        <f t="shared" si="3"/>
        <v>1</v>
      </c>
      <c r="I10" s="152">
        <f t="shared" si="3"/>
        <v>64</v>
      </c>
      <c r="J10" s="153">
        <f t="shared" si="3"/>
        <v>1</v>
      </c>
      <c r="K10" s="152">
        <f t="shared" si="3"/>
        <v>48</v>
      </c>
      <c r="L10" s="153">
        <f t="shared" si="3"/>
        <v>1</v>
      </c>
      <c r="M10" s="152">
        <f t="shared" si="3"/>
        <v>0</v>
      </c>
      <c r="N10" s="153">
        <f t="shared" si="3"/>
        <v>0</v>
      </c>
      <c r="O10" s="308">
        <f t="shared" si="3"/>
        <v>0</v>
      </c>
      <c r="P10" s="153">
        <f t="shared" si="3"/>
        <v>0</v>
      </c>
      <c r="Q10" s="152">
        <f t="shared" si="3"/>
        <v>0</v>
      </c>
      <c r="R10" s="153">
        <f t="shared" si="3"/>
        <v>0</v>
      </c>
      <c r="S10" s="152">
        <f t="shared" si="3"/>
        <v>0</v>
      </c>
      <c r="T10" s="153">
        <f t="shared" si="3"/>
        <v>0</v>
      </c>
      <c r="U10" s="152">
        <f t="shared" si="3"/>
        <v>0</v>
      </c>
      <c r="V10" s="153">
        <f>SUM(V6:V9)</f>
        <v>0</v>
      </c>
      <c r="W10" s="152">
        <f t="shared" si="3"/>
        <v>0</v>
      </c>
      <c r="X10" s="153">
        <f t="shared" si="3"/>
        <v>0</v>
      </c>
      <c r="Y10" s="152">
        <f t="shared" si="3"/>
        <v>0</v>
      </c>
      <c r="Z10" s="153">
        <f t="shared" si="3"/>
        <v>0</v>
      </c>
      <c r="AA10" s="271">
        <f t="shared" si="3"/>
        <v>266</v>
      </c>
      <c r="AB10" s="272">
        <f t="shared" si="3"/>
        <v>1</v>
      </c>
      <c r="AC10" s="273">
        <f t="shared" si="3"/>
        <v>22.166666666666664</v>
      </c>
    </row>
    <row r="11" spans="1:29" ht="14.95" customHeight="1">
      <c r="A11" s="609"/>
      <c r="B11" s="154" t="s">
        <v>81</v>
      </c>
      <c r="C11" s="155">
        <v>4</v>
      </c>
      <c r="D11" s="156">
        <f>IFERROR(C11/$C$13,0)</f>
        <v>6.8965517241379309E-2</v>
      </c>
      <c r="E11" s="155">
        <v>10</v>
      </c>
      <c r="F11" s="156">
        <f>IFERROR(E11/$E$13,0)</f>
        <v>0.16666666666666666</v>
      </c>
      <c r="G11" s="155">
        <v>12</v>
      </c>
      <c r="H11" s="156">
        <f>IFERROR(G11/$G$13,0)</f>
        <v>0.16438356164383561</v>
      </c>
      <c r="I11" s="155">
        <v>5</v>
      </c>
      <c r="J11" s="156">
        <f>IFERROR(I11/$I$13,0)</f>
        <v>6.3291139240506333E-2</v>
      </c>
      <c r="K11" s="155">
        <v>10</v>
      </c>
      <c r="L11" s="156">
        <f>IFERROR(K11/$K$13,0)</f>
        <v>0.16666666666666666</v>
      </c>
      <c r="M11" s="155">
        <v>0</v>
      </c>
      <c r="N11" s="156">
        <f>IFERROR(M11/$M$13,0)</f>
        <v>0</v>
      </c>
      <c r="O11" s="155">
        <v>0</v>
      </c>
      <c r="P11" s="156">
        <f>IFERROR(O11/$O$13,0)</f>
        <v>0</v>
      </c>
      <c r="Q11" s="155">
        <v>0</v>
      </c>
      <c r="R11" s="156">
        <f>IFERROR(Q11/$Q$13,0)</f>
        <v>0</v>
      </c>
      <c r="S11" s="155">
        <v>0</v>
      </c>
      <c r="T11" s="156">
        <f>IFERROR(S11/S$13,0)</f>
        <v>0</v>
      </c>
      <c r="U11" s="155">
        <v>0</v>
      </c>
      <c r="V11" s="156">
        <f>IFERROR(U11/U$13,0)</f>
        <v>0</v>
      </c>
      <c r="W11" s="155">
        <v>0</v>
      </c>
      <c r="X11" s="156">
        <f>IFERROR(W11/W$13,0)</f>
        <v>0</v>
      </c>
      <c r="Y11" s="155">
        <v>0</v>
      </c>
      <c r="Z11" s="156">
        <f>IFERROR(Y11/Y$13,0)</f>
        <v>0</v>
      </c>
      <c r="AA11" s="274">
        <f>SUM(Y11,W11,U11,S11,Q11,O11,M11,K11,I11,G11,E11,C11)</f>
        <v>41</v>
      </c>
      <c r="AB11" s="275">
        <f>AA11/$AA$13</f>
        <v>0.12424242424242424</v>
      </c>
      <c r="AC11" s="276">
        <f>AVERAGE(Y11,W11,U11,S11,Q11,O11,M11,K11,I11,H11,F11,C11)</f>
        <v>1.6109208523592085</v>
      </c>
    </row>
    <row r="12" spans="1:29" ht="14.95" customHeight="1">
      <c r="A12" s="609"/>
      <c r="B12" s="154" t="s">
        <v>82</v>
      </c>
      <c r="C12" s="155">
        <v>3</v>
      </c>
      <c r="D12" s="156">
        <f>IFERROR(C12/$C$13,0)</f>
        <v>5.1724137931034482E-2</v>
      </c>
      <c r="E12" s="155">
        <v>4</v>
      </c>
      <c r="F12" s="156">
        <f>IFERROR(E12/$E$13,0)</f>
        <v>6.6666666666666666E-2</v>
      </c>
      <c r="G12" s="155">
        <v>4</v>
      </c>
      <c r="H12" s="156">
        <f>IFERROR(G12/$G$13,0)</f>
        <v>5.4794520547945202E-2</v>
      </c>
      <c r="I12" s="155">
        <v>10</v>
      </c>
      <c r="J12" s="156">
        <f>IFERROR(I12/$I$13,0)</f>
        <v>0.12658227848101267</v>
      </c>
      <c r="K12" s="155">
        <v>2</v>
      </c>
      <c r="L12" s="156">
        <f>IFERROR(K12/$K$13,0)</f>
        <v>3.3333333333333333E-2</v>
      </c>
      <c r="M12" s="155">
        <v>0</v>
      </c>
      <c r="N12" s="156">
        <f>IFERROR(M12/$M$13,0)</f>
        <v>0</v>
      </c>
      <c r="O12" s="155">
        <v>0</v>
      </c>
      <c r="P12" s="156">
        <f>IFERROR(O12/$O$13,0)</f>
        <v>0</v>
      </c>
      <c r="Q12" s="155">
        <v>0</v>
      </c>
      <c r="R12" s="156">
        <f>IFERROR(Q12/$Q$13,0)</f>
        <v>0</v>
      </c>
      <c r="S12" s="155">
        <v>0</v>
      </c>
      <c r="T12" s="156">
        <f>IFERROR(S12/S$13,0)</f>
        <v>0</v>
      </c>
      <c r="U12" s="155">
        <v>0</v>
      </c>
      <c r="V12" s="156">
        <f>IFERROR(U12/U$13,0)</f>
        <v>0</v>
      </c>
      <c r="W12" s="155">
        <v>0</v>
      </c>
      <c r="X12" s="156">
        <f>IFERROR(W12/W$13,0)</f>
        <v>0</v>
      </c>
      <c r="Y12" s="155">
        <v>0</v>
      </c>
      <c r="Z12" s="156">
        <f>IFERROR(Y12/Y$13,0)</f>
        <v>0</v>
      </c>
      <c r="AA12" s="274">
        <f>SUM(Y12,W12,U12,S12,Q12,O12,M12,K12,I12,G12,E12,C12)</f>
        <v>23</v>
      </c>
      <c r="AB12" s="275">
        <f>AA12/$AA$13</f>
        <v>6.9696969696969702E-2</v>
      </c>
      <c r="AC12" s="276">
        <f>AVERAGE(Y12,W12,U12,S12,Q12,O12,M12,K12,I12,H12,F12,C12)</f>
        <v>1.2601217656012176</v>
      </c>
    </row>
    <row r="13" spans="1:29" ht="15.8" customHeight="1" thickBot="1">
      <c r="A13" s="609"/>
      <c r="B13" s="157" t="s">
        <v>83</v>
      </c>
      <c r="C13" s="158">
        <f>SUM(C10:C12)</f>
        <v>58</v>
      </c>
      <c r="D13" s="159">
        <f>IFERROR(C13/$C$13,0)</f>
        <v>1</v>
      </c>
      <c r="E13" s="158">
        <f>SUM(E10:E12)</f>
        <v>60</v>
      </c>
      <c r="F13" s="159">
        <f>IFERROR(E13/$E$13,0)</f>
        <v>1</v>
      </c>
      <c r="G13" s="158">
        <f>SUM(G10:G12)</f>
        <v>73</v>
      </c>
      <c r="H13" s="159">
        <f>IFERROR(G13/$G$13,0)</f>
        <v>1</v>
      </c>
      <c r="I13" s="158">
        <f>SUM(I10:I12)</f>
        <v>79</v>
      </c>
      <c r="J13" s="159">
        <f>IFERROR(I13/$I$13,0)</f>
        <v>1</v>
      </c>
      <c r="K13" s="158">
        <f>SUM(K10:K12)</f>
        <v>60</v>
      </c>
      <c r="L13" s="159">
        <f>IFERROR(K13/$K$13,0)</f>
        <v>1</v>
      </c>
      <c r="M13" s="158">
        <f>SUM(M10:M12)</f>
        <v>0</v>
      </c>
      <c r="N13" s="159">
        <f>IFERROR(M13/$M$13,0)</f>
        <v>0</v>
      </c>
      <c r="O13" s="158">
        <f>SUM(O10:O12)</f>
        <v>0</v>
      </c>
      <c r="P13" s="159">
        <f>IFERROR(O13/$O$13,0)</f>
        <v>0</v>
      </c>
      <c r="Q13" s="158">
        <f>SUM(Q10:Q12)</f>
        <v>0</v>
      </c>
      <c r="R13" s="153">
        <f>IFERROR(Q13/$Q$13,0)</f>
        <v>0</v>
      </c>
      <c r="S13" s="158">
        <f>SUM(S10:S12)</f>
        <v>0</v>
      </c>
      <c r="T13" s="153">
        <f>IFERROR(S13/$S$13,0)</f>
        <v>0</v>
      </c>
      <c r="U13" s="158">
        <f>SUM(U10:U12)</f>
        <v>0</v>
      </c>
      <c r="V13" s="153">
        <f>IFERROR(U13/$U$13,0)</f>
        <v>0</v>
      </c>
      <c r="W13" s="158">
        <f>SUM(W10:W12)</f>
        <v>0</v>
      </c>
      <c r="X13" s="153">
        <f>IFERROR(W13/$W$13,0)</f>
        <v>0</v>
      </c>
      <c r="Y13" s="158">
        <f>SUM(Y10:Y12)</f>
        <v>0</v>
      </c>
      <c r="Z13" s="153">
        <f>IFERROR(Y13/$Y$13,0)</f>
        <v>0</v>
      </c>
      <c r="AA13" s="277">
        <f>SUM(AA10:AA12)</f>
        <v>330</v>
      </c>
      <c r="AB13" s="278">
        <f>SUM(AB10:AB12)</f>
        <v>1.1939393939393939</v>
      </c>
      <c r="AC13" s="279">
        <f>SUM(AC10:AC12)</f>
        <v>25.037709284627088</v>
      </c>
    </row>
    <row r="14" spans="1:29" ht="15.8" customHeight="1" thickBot="1">
      <c r="A14" s="609"/>
      <c r="B14" s="616" t="s">
        <v>146</v>
      </c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A14" s="614"/>
      <c r="AB14" s="614"/>
      <c r="AC14" s="615"/>
    </row>
    <row r="15" spans="1:29" ht="14.95" customHeight="1">
      <c r="A15" s="609"/>
      <c r="B15" s="146" t="s">
        <v>143</v>
      </c>
      <c r="C15" s="599" t="s">
        <v>61</v>
      </c>
      <c r="D15" s="599"/>
      <c r="E15" s="599" t="s">
        <v>62</v>
      </c>
      <c r="F15" s="599"/>
      <c r="G15" s="599" t="s">
        <v>63</v>
      </c>
      <c r="H15" s="599"/>
      <c r="I15" s="599" t="s">
        <v>64</v>
      </c>
      <c r="J15" s="599"/>
      <c r="K15" s="599" t="s">
        <v>65</v>
      </c>
      <c r="L15" s="599"/>
      <c r="M15" s="599" t="s">
        <v>66</v>
      </c>
      <c r="N15" s="599"/>
      <c r="O15" s="599" t="s">
        <v>95</v>
      </c>
      <c r="P15" s="599"/>
      <c r="Q15" s="599" t="s">
        <v>102</v>
      </c>
      <c r="R15" s="599"/>
      <c r="S15" s="599" t="s">
        <v>103</v>
      </c>
      <c r="T15" s="599"/>
      <c r="U15" s="599" t="s">
        <v>104</v>
      </c>
      <c r="V15" s="599"/>
      <c r="W15" s="599" t="s">
        <v>105</v>
      </c>
      <c r="X15" s="599"/>
      <c r="Y15" s="599" t="s">
        <v>106</v>
      </c>
      <c r="Z15" s="599"/>
      <c r="AA15" s="599" t="s">
        <v>37</v>
      </c>
      <c r="AB15" s="599"/>
      <c r="AC15" s="147" t="s">
        <v>17</v>
      </c>
    </row>
    <row r="16" spans="1:29" ht="14.95" customHeight="1">
      <c r="A16" s="609"/>
      <c r="B16" s="148" t="s">
        <v>78</v>
      </c>
      <c r="C16" s="155">
        <v>12</v>
      </c>
      <c r="D16" s="156">
        <f>IFERROR(C16/$C$19,"-")</f>
        <v>0.54545454545454541</v>
      </c>
      <c r="E16" s="155">
        <v>10</v>
      </c>
      <c r="F16" s="156">
        <f>IFERROR(E16/$E$19,"-")</f>
        <v>0.7142857142857143</v>
      </c>
      <c r="G16" s="155">
        <v>13</v>
      </c>
      <c r="H16" s="156">
        <f t="shared" ref="H16:H17" si="4">IFERROR(G16/$G$19,"-")</f>
        <v>0.44827586206896552</v>
      </c>
      <c r="I16" s="155">
        <v>21</v>
      </c>
      <c r="J16" s="156">
        <f>IFERROR(I16/$I$19,"-")</f>
        <v>0.63636363636363635</v>
      </c>
      <c r="K16" s="155">
        <v>5</v>
      </c>
      <c r="L16" s="150">
        <f>IFERROR(K16/K$19,"-")</f>
        <v>0.41666666666666669</v>
      </c>
      <c r="M16" s="155">
        <v>0</v>
      </c>
      <c r="N16" s="150" t="str">
        <f>IFERROR(M16/M$19,"-")</f>
        <v>-</v>
      </c>
      <c r="O16" s="155">
        <v>0</v>
      </c>
      <c r="P16" s="150" t="str">
        <f>IFERROR(O16/O$19,"-")</f>
        <v>-</v>
      </c>
      <c r="Q16" s="155">
        <v>0</v>
      </c>
      <c r="R16" s="150" t="str">
        <f>IFERROR(Q16/Q$19,"-")</f>
        <v>-</v>
      </c>
      <c r="S16" s="155">
        <v>0</v>
      </c>
      <c r="T16" s="150" t="str">
        <f>IFERROR(S16/S$19,"-")</f>
        <v>-</v>
      </c>
      <c r="U16" s="155">
        <v>0</v>
      </c>
      <c r="V16" s="150" t="str">
        <f>IFERROR(U16/U$19,"-")</f>
        <v>-</v>
      </c>
      <c r="W16" s="155">
        <v>0</v>
      </c>
      <c r="X16" s="150" t="str">
        <f>IFERROR(W16/W$19,"-")</f>
        <v>-</v>
      </c>
      <c r="Y16" s="155">
        <v>0</v>
      </c>
      <c r="Z16" s="150" t="str">
        <f>IFERROR(Y16/Y$19,"-")</f>
        <v>-</v>
      </c>
      <c r="AA16" s="280">
        <f>SUM(Y16,W16,U16,S16,Q16,O16,M16,K16,I16,G16,E16,C16)</f>
        <v>61</v>
      </c>
      <c r="AB16" s="281">
        <f>AA16/$AA$19</f>
        <v>0.55454545454545456</v>
      </c>
      <c r="AC16" s="282">
        <f>AVERAGE(Y16,W16,U16,S16,Q16,O16,M16,K16,I16,G16,E16,C16)</f>
        <v>5.083333333333333</v>
      </c>
    </row>
    <row r="17" spans="1:29" ht="14.95" customHeight="1">
      <c r="A17" s="609"/>
      <c r="B17" s="148" t="s">
        <v>79</v>
      </c>
      <c r="C17" s="155">
        <v>10</v>
      </c>
      <c r="D17" s="156">
        <f>IFERROR(C17/$C$19,"-")</f>
        <v>0.45454545454545453</v>
      </c>
      <c r="E17" s="155">
        <v>3</v>
      </c>
      <c r="F17" s="156">
        <f>IFERROR(E17/$E$19,"-")</f>
        <v>0.21428571428571427</v>
      </c>
      <c r="G17" s="155">
        <v>16</v>
      </c>
      <c r="H17" s="156">
        <f t="shared" si="4"/>
        <v>0.55172413793103448</v>
      </c>
      <c r="I17" s="155">
        <v>11</v>
      </c>
      <c r="J17" s="156">
        <f t="shared" ref="J17:J18" si="5">IFERROR(I17/$I$19,"-")</f>
        <v>0.33333333333333331</v>
      </c>
      <c r="K17" s="155">
        <v>6</v>
      </c>
      <c r="L17" s="150">
        <f t="shared" ref="L17:N18" si="6">IFERROR(K17/K$19,"-")</f>
        <v>0.5</v>
      </c>
      <c r="M17" s="155">
        <v>0</v>
      </c>
      <c r="N17" s="150" t="str">
        <f t="shared" si="6"/>
        <v>-</v>
      </c>
      <c r="O17" s="155">
        <v>0</v>
      </c>
      <c r="P17" s="150" t="str">
        <f t="shared" ref="P17:P18" si="7">IFERROR(O17/O$19,"-")</f>
        <v>-</v>
      </c>
      <c r="Q17" s="155">
        <v>0</v>
      </c>
      <c r="R17" s="150" t="str">
        <f t="shared" ref="R17:R18" si="8">IFERROR(Q17/Q$19,"-")</f>
        <v>-</v>
      </c>
      <c r="S17" s="155">
        <v>0</v>
      </c>
      <c r="T17" s="150" t="str">
        <f t="shared" ref="T17:T18" si="9">IFERROR(S17/S$19,"-")</f>
        <v>-</v>
      </c>
      <c r="U17" s="155">
        <v>0</v>
      </c>
      <c r="V17" s="150" t="str">
        <f t="shared" ref="V17:V18" si="10">IFERROR(U17/U$19,"-")</f>
        <v>-</v>
      </c>
      <c r="W17" s="155">
        <v>0</v>
      </c>
      <c r="X17" s="150" t="str">
        <f t="shared" ref="X17:X18" si="11">IFERROR(W17/W$19,"-")</f>
        <v>-</v>
      </c>
      <c r="Y17" s="155">
        <v>0</v>
      </c>
      <c r="Z17" s="150" t="str">
        <f t="shared" ref="Z17:Z18" si="12">IFERROR(Y17/Y$19,"-")</f>
        <v>-</v>
      </c>
      <c r="AA17" s="280">
        <f>SUM(Y17,W17,U17,S17,Q17,O17,M17,K17,I17,G17,E17,C17)</f>
        <v>46</v>
      </c>
      <c r="AB17" s="281">
        <f>AA17/$AA$19</f>
        <v>0.41818181818181815</v>
      </c>
      <c r="AC17" s="282">
        <f>AVERAGE(Y17,W17,U17,S17,Q17,O17,M17,K17,I17,G17,E17,C17)</f>
        <v>3.8333333333333335</v>
      </c>
    </row>
    <row r="18" spans="1:29" ht="14.95" customHeight="1">
      <c r="A18" s="609"/>
      <c r="B18" s="148" t="s">
        <v>142</v>
      </c>
      <c r="C18" s="155">
        <v>0</v>
      </c>
      <c r="D18" s="156">
        <f>IFERROR(C18/$C$19,"-")</f>
        <v>0</v>
      </c>
      <c r="E18" s="155">
        <v>1</v>
      </c>
      <c r="F18" s="156">
        <f>IFERROR(E18/$E$19,"-")</f>
        <v>7.1428571428571425E-2</v>
      </c>
      <c r="G18" s="155">
        <v>0</v>
      </c>
      <c r="H18" s="156">
        <f>IFERROR(G18/$G$19,"-")</f>
        <v>0</v>
      </c>
      <c r="I18" s="155">
        <v>1</v>
      </c>
      <c r="J18" s="156">
        <f t="shared" si="5"/>
        <v>3.0303030303030304E-2</v>
      </c>
      <c r="K18" s="155">
        <v>1</v>
      </c>
      <c r="L18" s="150">
        <f t="shared" si="6"/>
        <v>8.3333333333333329E-2</v>
      </c>
      <c r="M18" s="155">
        <v>0</v>
      </c>
      <c r="N18" s="150" t="str">
        <f t="shared" si="6"/>
        <v>-</v>
      </c>
      <c r="O18" s="155">
        <v>0</v>
      </c>
      <c r="P18" s="150" t="str">
        <f t="shared" si="7"/>
        <v>-</v>
      </c>
      <c r="Q18" s="155">
        <v>0</v>
      </c>
      <c r="R18" s="150" t="str">
        <f t="shared" si="8"/>
        <v>-</v>
      </c>
      <c r="S18" s="155">
        <v>0</v>
      </c>
      <c r="T18" s="150" t="str">
        <f t="shared" si="9"/>
        <v>-</v>
      </c>
      <c r="U18" s="155">
        <v>0</v>
      </c>
      <c r="V18" s="150" t="str">
        <f t="shared" si="10"/>
        <v>-</v>
      </c>
      <c r="W18" s="155">
        <v>0</v>
      </c>
      <c r="X18" s="150" t="str">
        <f t="shared" si="11"/>
        <v>-</v>
      </c>
      <c r="Y18" s="155">
        <v>0</v>
      </c>
      <c r="Z18" s="150" t="str">
        <f t="shared" si="12"/>
        <v>-</v>
      </c>
      <c r="AA18" s="280">
        <f>SUM(Y18,W18,U18,S18,Q18,O18,M18,K18,I18,G18,E18,C18)</f>
        <v>3</v>
      </c>
      <c r="AB18" s="281">
        <f>AA18/$AA$19</f>
        <v>2.7272727272727271E-2</v>
      </c>
      <c r="AC18" s="282">
        <f>AVERAGE(Y18,W18,U18,S18,Q18,O18,M18,K18,I18,G18,E18,C18)</f>
        <v>0.25</v>
      </c>
    </row>
    <row r="19" spans="1:29" ht="15.8" customHeight="1" thickBot="1">
      <c r="A19" s="609"/>
      <c r="B19" s="157" t="s">
        <v>144</v>
      </c>
      <c r="C19" s="158">
        <f t="shared" ref="C19:AC19" si="13">SUM(C16:C18)</f>
        <v>22</v>
      </c>
      <c r="D19" s="159">
        <f t="shared" si="13"/>
        <v>1</v>
      </c>
      <c r="E19" s="158">
        <f t="shared" si="13"/>
        <v>14</v>
      </c>
      <c r="F19" s="159">
        <f t="shared" si="13"/>
        <v>1</v>
      </c>
      <c r="G19" s="158">
        <f t="shared" si="13"/>
        <v>29</v>
      </c>
      <c r="H19" s="159">
        <f t="shared" si="13"/>
        <v>1</v>
      </c>
      <c r="I19" s="158">
        <f t="shared" si="13"/>
        <v>33</v>
      </c>
      <c r="J19" s="159">
        <f t="shared" si="13"/>
        <v>1</v>
      </c>
      <c r="K19" s="158">
        <f t="shared" si="13"/>
        <v>12</v>
      </c>
      <c r="L19" s="159">
        <f t="shared" si="13"/>
        <v>1</v>
      </c>
      <c r="M19" s="158">
        <f t="shared" si="13"/>
        <v>0</v>
      </c>
      <c r="N19" s="159">
        <f t="shared" si="13"/>
        <v>0</v>
      </c>
      <c r="O19" s="158">
        <f t="shared" si="13"/>
        <v>0</v>
      </c>
      <c r="P19" s="159">
        <f t="shared" si="13"/>
        <v>0</v>
      </c>
      <c r="Q19" s="158">
        <f t="shared" si="13"/>
        <v>0</v>
      </c>
      <c r="R19" s="159">
        <f t="shared" si="13"/>
        <v>0</v>
      </c>
      <c r="S19" s="158">
        <f t="shared" si="13"/>
        <v>0</v>
      </c>
      <c r="T19" s="159">
        <f t="shared" si="13"/>
        <v>0</v>
      </c>
      <c r="U19" s="158">
        <f t="shared" si="13"/>
        <v>0</v>
      </c>
      <c r="V19" s="159">
        <f t="shared" si="13"/>
        <v>0</v>
      </c>
      <c r="W19" s="158">
        <f t="shared" si="13"/>
        <v>0</v>
      </c>
      <c r="X19" s="159">
        <f t="shared" si="13"/>
        <v>0</v>
      </c>
      <c r="Y19" s="158">
        <f t="shared" si="13"/>
        <v>0</v>
      </c>
      <c r="Z19" s="159">
        <f t="shared" si="13"/>
        <v>0</v>
      </c>
      <c r="AA19" s="158">
        <f t="shared" si="13"/>
        <v>110</v>
      </c>
      <c r="AB19" s="159">
        <f t="shared" si="13"/>
        <v>0.99999999999999989</v>
      </c>
      <c r="AC19" s="160">
        <f t="shared" si="13"/>
        <v>9.1666666666666661</v>
      </c>
    </row>
    <row r="20" spans="1:29" ht="15.8" customHeight="1" thickBot="1">
      <c r="A20" s="609"/>
      <c r="B20" s="611" t="s">
        <v>125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3"/>
    </row>
    <row r="21" spans="1:29" ht="14.95" customHeight="1">
      <c r="A21" s="609"/>
      <c r="B21" s="161"/>
      <c r="C21" s="600" t="s">
        <v>61</v>
      </c>
      <c r="D21" s="601"/>
      <c r="E21" s="600" t="s">
        <v>62</v>
      </c>
      <c r="F21" s="601"/>
      <c r="G21" s="600" t="s">
        <v>63</v>
      </c>
      <c r="H21" s="601"/>
      <c r="I21" s="600" t="s">
        <v>64</v>
      </c>
      <c r="J21" s="601"/>
      <c r="K21" s="600" t="s">
        <v>65</v>
      </c>
      <c r="L21" s="601"/>
      <c r="M21" s="600" t="s">
        <v>66</v>
      </c>
      <c r="N21" s="601"/>
      <c r="O21" s="600" t="s">
        <v>95</v>
      </c>
      <c r="P21" s="601"/>
      <c r="Q21" s="600" t="s">
        <v>102</v>
      </c>
      <c r="R21" s="601"/>
      <c r="S21" s="600" t="s">
        <v>103</v>
      </c>
      <c r="T21" s="601"/>
      <c r="U21" s="600" t="s">
        <v>104</v>
      </c>
      <c r="V21" s="601"/>
      <c r="W21" s="600" t="s">
        <v>105</v>
      </c>
      <c r="X21" s="601"/>
      <c r="Y21" s="600" t="s">
        <v>106</v>
      </c>
      <c r="Z21" s="601"/>
      <c r="AA21" s="602" t="s">
        <v>16</v>
      </c>
      <c r="AB21" s="603"/>
      <c r="AC21" s="283" t="s">
        <v>17</v>
      </c>
    </row>
    <row r="22" spans="1:29" ht="14.95" customHeight="1">
      <c r="A22" s="609"/>
      <c r="B22" s="148" t="s">
        <v>159</v>
      </c>
      <c r="C22" s="149">
        <v>21</v>
      </c>
      <c r="D22" s="150">
        <f t="shared" ref="D22:R26" si="14">IFERROR(C22/C$27,"-")</f>
        <v>0.17948717948717949</v>
      </c>
      <c r="E22" s="149">
        <v>8</v>
      </c>
      <c r="F22" s="150">
        <f t="shared" si="14"/>
        <v>8.5106382978723402E-2</v>
      </c>
      <c r="G22" s="149">
        <v>7</v>
      </c>
      <c r="H22" s="150">
        <f t="shared" si="14"/>
        <v>7.3684210526315783E-2</v>
      </c>
      <c r="I22" s="149">
        <v>4</v>
      </c>
      <c r="J22" s="150">
        <f t="shared" si="14"/>
        <v>4.9382716049382713E-2</v>
      </c>
      <c r="K22" s="149">
        <v>1</v>
      </c>
      <c r="L22" s="150">
        <f t="shared" si="14"/>
        <v>9.8039215686274508E-3</v>
      </c>
      <c r="M22" s="149">
        <v>0</v>
      </c>
      <c r="N22" s="150" t="str">
        <f t="shared" si="14"/>
        <v>-</v>
      </c>
      <c r="O22" s="149">
        <v>0</v>
      </c>
      <c r="P22" s="150" t="str">
        <f t="shared" si="14"/>
        <v>-</v>
      </c>
      <c r="Q22" s="149">
        <v>0</v>
      </c>
      <c r="R22" s="150" t="str">
        <f t="shared" si="14"/>
        <v>-</v>
      </c>
      <c r="S22" s="149">
        <v>0</v>
      </c>
      <c r="T22" s="150" t="str">
        <f t="shared" ref="T22:Z26" si="15">IFERROR(S22/S$27,"-")</f>
        <v>-</v>
      </c>
      <c r="U22" s="149">
        <v>0</v>
      </c>
      <c r="V22" s="150" t="str">
        <f t="shared" si="15"/>
        <v>-</v>
      </c>
      <c r="W22" s="149">
        <v>0</v>
      </c>
      <c r="X22" s="150" t="str">
        <f t="shared" si="15"/>
        <v>-</v>
      </c>
      <c r="Y22" s="149">
        <v>0</v>
      </c>
      <c r="Z22" s="150" t="str">
        <f t="shared" si="15"/>
        <v>-</v>
      </c>
      <c r="AA22" s="268">
        <f>SUM(Y22,W22,U22,S22,Q22,O22,M22,K22,I22,G22,E22,C22)</f>
        <v>41</v>
      </c>
      <c r="AB22" s="269">
        <f>AA22/$AA$27</f>
        <v>8.3844580777096112E-2</v>
      </c>
      <c r="AC22" s="284">
        <f>AVERAGE(Y22,W22,U22,S22,Q22,O22,M22,K22,I22,G22,E22,C22)</f>
        <v>3.4166666666666665</v>
      </c>
    </row>
    <row r="23" spans="1:29" ht="14.95" customHeight="1">
      <c r="A23" s="609"/>
      <c r="B23" s="148" t="s">
        <v>160</v>
      </c>
      <c r="C23" s="149">
        <v>9</v>
      </c>
      <c r="D23" s="150">
        <f t="shared" si="14"/>
        <v>7.6923076923076927E-2</v>
      </c>
      <c r="E23" s="149">
        <v>6</v>
      </c>
      <c r="F23" s="150">
        <f t="shared" si="14"/>
        <v>6.3829787234042548E-2</v>
      </c>
      <c r="G23" s="149">
        <v>5</v>
      </c>
      <c r="H23" s="150">
        <f t="shared" si="14"/>
        <v>5.2631578947368418E-2</v>
      </c>
      <c r="I23" s="149">
        <v>3</v>
      </c>
      <c r="J23" s="150">
        <f t="shared" si="14"/>
        <v>3.7037037037037035E-2</v>
      </c>
      <c r="K23" s="149">
        <v>6</v>
      </c>
      <c r="L23" s="150">
        <f t="shared" si="14"/>
        <v>5.8823529411764705E-2</v>
      </c>
      <c r="M23" s="149">
        <v>0</v>
      </c>
      <c r="N23" s="150" t="str">
        <f t="shared" si="14"/>
        <v>-</v>
      </c>
      <c r="O23" s="149">
        <v>0</v>
      </c>
      <c r="P23" s="150" t="str">
        <f t="shared" si="14"/>
        <v>-</v>
      </c>
      <c r="Q23" s="149">
        <v>0</v>
      </c>
      <c r="R23" s="150" t="str">
        <f t="shared" si="14"/>
        <v>-</v>
      </c>
      <c r="S23" s="149">
        <v>0</v>
      </c>
      <c r="T23" s="150" t="str">
        <f t="shared" si="15"/>
        <v>-</v>
      </c>
      <c r="U23" s="149">
        <v>0</v>
      </c>
      <c r="V23" s="150" t="str">
        <f t="shared" si="15"/>
        <v>-</v>
      </c>
      <c r="W23" s="149">
        <v>0</v>
      </c>
      <c r="X23" s="150" t="str">
        <f t="shared" si="15"/>
        <v>-</v>
      </c>
      <c r="Y23" s="149">
        <v>0</v>
      </c>
      <c r="Z23" s="150" t="str">
        <f t="shared" si="15"/>
        <v>-</v>
      </c>
      <c r="AA23" s="268">
        <f>SUM(Y23,W23,U23,S23,Q23,O23,M23,K23,I23,G23,E23,C23)</f>
        <v>29</v>
      </c>
      <c r="AB23" s="269">
        <f>AA23/$AA$27</f>
        <v>5.9304703476482618E-2</v>
      </c>
      <c r="AC23" s="284">
        <f>AVERAGE(Y23,W23,U23,S23,Q23,O23,M23,K23,I23,G23,E23,C23)</f>
        <v>2.4166666666666665</v>
      </c>
    </row>
    <row r="24" spans="1:29" ht="14.95" customHeight="1">
      <c r="A24" s="609"/>
      <c r="B24" s="148" t="s">
        <v>161</v>
      </c>
      <c r="C24" s="149">
        <v>5</v>
      </c>
      <c r="D24" s="150">
        <f t="shared" si="14"/>
        <v>4.2735042735042736E-2</v>
      </c>
      <c r="E24" s="149">
        <v>4</v>
      </c>
      <c r="F24" s="150">
        <f t="shared" si="14"/>
        <v>4.2553191489361701E-2</v>
      </c>
      <c r="G24" s="149">
        <v>0</v>
      </c>
      <c r="H24" s="150">
        <f t="shared" si="14"/>
        <v>0</v>
      </c>
      <c r="I24" s="149">
        <v>2</v>
      </c>
      <c r="J24" s="150">
        <f t="shared" si="14"/>
        <v>2.4691358024691357E-2</v>
      </c>
      <c r="K24" s="149">
        <v>1</v>
      </c>
      <c r="L24" s="150">
        <f t="shared" si="14"/>
        <v>9.8039215686274508E-3</v>
      </c>
      <c r="M24" s="149">
        <v>0</v>
      </c>
      <c r="N24" s="150" t="str">
        <f t="shared" si="14"/>
        <v>-</v>
      </c>
      <c r="O24" s="149">
        <v>0</v>
      </c>
      <c r="P24" s="150" t="str">
        <f t="shared" si="14"/>
        <v>-</v>
      </c>
      <c r="Q24" s="149">
        <v>0</v>
      </c>
      <c r="R24" s="150" t="str">
        <f t="shared" si="14"/>
        <v>-</v>
      </c>
      <c r="S24" s="149">
        <v>0</v>
      </c>
      <c r="T24" s="150" t="str">
        <f t="shared" si="15"/>
        <v>-</v>
      </c>
      <c r="U24" s="149">
        <v>0</v>
      </c>
      <c r="V24" s="150" t="str">
        <f t="shared" si="15"/>
        <v>-</v>
      </c>
      <c r="W24" s="149">
        <v>0</v>
      </c>
      <c r="X24" s="150" t="str">
        <f t="shared" si="15"/>
        <v>-</v>
      </c>
      <c r="Y24" s="149">
        <v>0</v>
      </c>
      <c r="Z24" s="150" t="str">
        <f t="shared" si="15"/>
        <v>-</v>
      </c>
      <c r="AA24" s="268">
        <f>SUM(Y24,W24,U24,S24,Q24,O24,M24,K24,I24,G24,E24,C24)</f>
        <v>12</v>
      </c>
      <c r="AB24" s="269">
        <f>AA24/$AA$27</f>
        <v>2.4539877300613498E-2</v>
      </c>
      <c r="AC24" s="284">
        <f>AVERAGE(Y24,W24,U24,S24,Q24,O24,M24,K24,I24,G24,E24,C24)</f>
        <v>1</v>
      </c>
    </row>
    <row r="25" spans="1:29" ht="14.95" customHeight="1">
      <c r="A25" s="609"/>
      <c r="B25" s="148" t="s">
        <v>25</v>
      </c>
      <c r="C25" s="149">
        <v>7</v>
      </c>
      <c r="D25" s="150">
        <f t="shared" si="14"/>
        <v>5.9829059829059832E-2</v>
      </c>
      <c r="E25" s="149">
        <v>9</v>
      </c>
      <c r="F25" s="150">
        <f t="shared" si="14"/>
        <v>9.5744680851063829E-2</v>
      </c>
      <c r="G25" s="149">
        <v>12</v>
      </c>
      <c r="H25" s="150">
        <f t="shared" si="14"/>
        <v>0.12631578947368421</v>
      </c>
      <c r="I25" s="149">
        <v>8</v>
      </c>
      <c r="J25" s="150">
        <f t="shared" si="14"/>
        <v>9.8765432098765427E-2</v>
      </c>
      <c r="K25" s="149">
        <v>2</v>
      </c>
      <c r="L25" s="150">
        <f t="shared" si="14"/>
        <v>1.9607843137254902E-2</v>
      </c>
      <c r="M25" s="149">
        <v>0</v>
      </c>
      <c r="N25" s="150" t="str">
        <f t="shared" si="14"/>
        <v>-</v>
      </c>
      <c r="O25" s="149">
        <v>0</v>
      </c>
      <c r="P25" s="150" t="str">
        <f t="shared" si="14"/>
        <v>-</v>
      </c>
      <c r="Q25" s="149">
        <v>0</v>
      </c>
      <c r="R25" s="150" t="str">
        <f t="shared" si="14"/>
        <v>-</v>
      </c>
      <c r="S25" s="149">
        <v>0</v>
      </c>
      <c r="T25" s="150" t="str">
        <f t="shared" si="15"/>
        <v>-</v>
      </c>
      <c r="U25" s="149">
        <v>0</v>
      </c>
      <c r="V25" s="150" t="str">
        <f t="shared" si="15"/>
        <v>-</v>
      </c>
      <c r="W25" s="149">
        <v>0</v>
      </c>
      <c r="X25" s="150" t="str">
        <f t="shared" si="15"/>
        <v>-</v>
      </c>
      <c r="Y25" s="149">
        <v>0</v>
      </c>
      <c r="Z25" s="150" t="str">
        <f t="shared" si="15"/>
        <v>-</v>
      </c>
      <c r="AA25" s="268">
        <f>SUM(Y25,W25,U25,S25,Q25,O25,M25,K25,I25,G25,E25,C25)</f>
        <v>38</v>
      </c>
      <c r="AB25" s="269">
        <f>AA25/$AA$27</f>
        <v>7.7709611451942745E-2</v>
      </c>
      <c r="AC25" s="284">
        <f>AVERAGE(Y25,W25,U25,S25,Q25,O25,M25,K25,I25,G25,E25,C25)</f>
        <v>3.1666666666666665</v>
      </c>
    </row>
    <row r="26" spans="1:29" ht="14.95" customHeight="1">
      <c r="A26" s="609"/>
      <c r="B26" s="148" t="s">
        <v>162</v>
      </c>
      <c r="C26" s="149">
        <v>75</v>
      </c>
      <c r="D26" s="150">
        <f>IFERROR(C26/C$27,"-")</f>
        <v>0.64102564102564108</v>
      </c>
      <c r="E26" s="149">
        <v>67</v>
      </c>
      <c r="F26" s="150">
        <f>IFERROR(E26/E$27,"-")</f>
        <v>0.71276595744680848</v>
      </c>
      <c r="G26" s="149">
        <v>71</v>
      </c>
      <c r="H26" s="150">
        <f>IFERROR(G26/G$27,"-")</f>
        <v>0.74736842105263157</v>
      </c>
      <c r="I26" s="149">
        <v>64</v>
      </c>
      <c r="J26" s="150">
        <f t="shared" si="14"/>
        <v>0.79012345679012341</v>
      </c>
      <c r="K26" s="149">
        <v>92</v>
      </c>
      <c r="L26" s="150">
        <f t="shared" si="14"/>
        <v>0.90196078431372551</v>
      </c>
      <c r="M26" s="149">
        <v>0</v>
      </c>
      <c r="N26" s="150" t="str">
        <f t="shared" si="14"/>
        <v>-</v>
      </c>
      <c r="O26" s="149">
        <v>0</v>
      </c>
      <c r="P26" s="150" t="str">
        <f t="shared" si="14"/>
        <v>-</v>
      </c>
      <c r="Q26" s="149">
        <v>0</v>
      </c>
      <c r="R26" s="150" t="str">
        <f>IFERROR(Q26/Q$27,"-")</f>
        <v>-</v>
      </c>
      <c r="S26" s="149">
        <v>0</v>
      </c>
      <c r="T26" s="150" t="str">
        <f t="shared" si="15"/>
        <v>-</v>
      </c>
      <c r="U26" s="149">
        <v>0</v>
      </c>
      <c r="V26" s="150" t="str">
        <f t="shared" si="15"/>
        <v>-</v>
      </c>
      <c r="W26" s="149">
        <v>0</v>
      </c>
      <c r="X26" s="150" t="str">
        <f t="shared" si="15"/>
        <v>-</v>
      </c>
      <c r="Y26" s="149">
        <v>0</v>
      </c>
      <c r="Z26" s="150" t="str">
        <f t="shared" si="15"/>
        <v>-</v>
      </c>
      <c r="AA26" s="268">
        <f>SUM(Y26,W26,U26,S26,Q26,O26,M26,K26,I26,G26,E26,C26)</f>
        <v>369</v>
      </c>
      <c r="AB26" s="269">
        <f>AA26/$AA$27</f>
        <v>0.754601226993865</v>
      </c>
      <c r="AC26" s="284">
        <f>AVERAGE(Y26,W26,U26,S26,Q26,O26,M26,K26,I26,G26,E26,C26)</f>
        <v>30.75</v>
      </c>
    </row>
    <row r="27" spans="1:29" ht="15.8" customHeight="1" thickBot="1">
      <c r="A27" s="609"/>
      <c r="B27" s="157" t="s">
        <v>26</v>
      </c>
      <c r="C27" s="158">
        <f>SUM(C22:C26)</f>
        <v>117</v>
      </c>
      <c r="D27" s="153">
        <f>SUM(D22:D26)</f>
        <v>1</v>
      </c>
      <c r="E27" s="162">
        <f>SUM(E22:E26)</f>
        <v>94</v>
      </c>
      <c r="F27" s="159">
        <f>E27/$E$27</f>
        <v>1</v>
      </c>
      <c r="G27" s="158">
        <f>SUM(G22:G26)</f>
        <v>95</v>
      </c>
      <c r="H27" s="159">
        <f>G27/$G$27</f>
        <v>1</v>
      </c>
      <c r="I27" s="158">
        <f>SUM(I22:I26)</f>
        <v>81</v>
      </c>
      <c r="J27" s="163">
        <f>I27/$I$27</f>
        <v>1</v>
      </c>
      <c r="K27" s="158">
        <f>SUM(K22:K26)</f>
        <v>102</v>
      </c>
      <c r="L27" s="163">
        <f>SUM(L22:L26)</f>
        <v>1</v>
      </c>
      <c r="M27" s="158">
        <f>SUM(M22:M26)</f>
        <v>0</v>
      </c>
      <c r="N27" s="163" t="e">
        <f>M27/$M$27</f>
        <v>#DIV/0!</v>
      </c>
      <c r="O27" s="158">
        <f>SUM(O22:O26)</f>
        <v>0</v>
      </c>
      <c r="P27" s="163" t="e">
        <f>O27/$O$27</f>
        <v>#DIV/0!</v>
      </c>
      <c r="Q27" s="158">
        <f>SUM(Q22:Q26)</f>
        <v>0</v>
      </c>
      <c r="R27" s="163" t="e">
        <f>Q27/$Q$27</f>
        <v>#DIV/0!</v>
      </c>
      <c r="S27" s="158">
        <f>SUM(S22:S26)</f>
        <v>0</v>
      </c>
      <c r="T27" s="163" t="e">
        <f>S27/$S$27</f>
        <v>#DIV/0!</v>
      </c>
      <c r="U27" s="158">
        <f t="shared" ref="U27:AC27" si="16">SUM(U22:U26)</f>
        <v>0</v>
      </c>
      <c r="V27" s="159">
        <f t="shared" si="16"/>
        <v>0</v>
      </c>
      <c r="W27" s="158">
        <f t="shared" si="16"/>
        <v>0</v>
      </c>
      <c r="X27" s="159">
        <f t="shared" si="16"/>
        <v>0</v>
      </c>
      <c r="Y27" s="158">
        <f t="shared" si="16"/>
        <v>0</v>
      </c>
      <c r="Z27" s="159">
        <f t="shared" si="16"/>
        <v>0</v>
      </c>
      <c r="AA27" s="277">
        <f t="shared" si="16"/>
        <v>489</v>
      </c>
      <c r="AB27" s="272">
        <f t="shared" si="16"/>
        <v>1</v>
      </c>
      <c r="AC27" s="279">
        <f t="shared" si="16"/>
        <v>40.75</v>
      </c>
    </row>
    <row r="28" spans="1:29" ht="15.8" customHeight="1" thickBot="1">
      <c r="A28" s="609"/>
      <c r="B28" s="611" t="s">
        <v>145</v>
      </c>
      <c r="C28" s="612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  <c r="O28" s="612"/>
      <c r="P28" s="612"/>
      <c r="Q28" s="612"/>
      <c r="R28" s="612"/>
      <c r="S28" s="612"/>
      <c r="T28" s="612"/>
      <c r="U28" s="612"/>
      <c r="V28" s="612"/>
      <c r="W28" s="612"/>
      <c r="X28" s="612"/>
      <c r="Y28" s="612"/>
      <c r="Z28" s="612"/>
      <c r="AA28" s="612"/>
      <c r="AB28" s="612"/>
      <c r="AC28" s="613"/>
    </row>
    <row r="29" spans="1:29" ht="14.95" customHeight="1">
      <c r="A29" s="609"/>
      <c r="B29" s="161"/>
      <c r="C29" s="597" t="s">
        <v>61</v>
      </c>
      <c r="D29" s="598"/>
      <c r="E29" s="597" t="s">
        <v>62</v>
      </c>
      <c r="F29" s="598"/>
      <c r="G29" s="597" t="s">
        <v>63</v>
      </c>
      <c r="H29" s="598"/>
      <c r="I29" s="597" t="s">
        <v>64</v>
      </c>
      <c r="J29" s="598"/>
      <c r="K29" s="597" t="s">
        <v>65</v>
      </c>
      <c r="L29" s="598"/>
      <c r="M29" s="597" t="s">
        <v>66</v>
      </c>
      <c r="N29" s="598"/>
      <c r="O29" s="597" t="s">
        <v>95</v>
      </c>
      <c r="P29" s="598"/>
      <c r="Q29" s="597" t="s">
        <v>102</v>
      </c>
      <c r="R29" s="598"/>
      <c r="S29" s="597" t="s">
        <v>103</v>
      </c>
      <c r="T29" s="598"/>
      <c r="U29" s="597" t="s">
        <v>104</v>
      </c>
      <c r="V29" s="598"/>
      <c r="W29" s="597" t="s">
        <v>105</v>
      </c>
      <c r="X29" s="598"/>
      <c r="Y29" s="597" t="s">
        <v>106</v>
      </c>
      <c r="Z29" s="598"/>
      <c r="AA29" s="595" t="s">
        <v>16</v>
      </c>
      <c r="AB29" s="596"/>
      <c r="AC29" s="283" t="s">
        <v>17</v>
      </c>
    </row>
    <row r="30" spans="1:29" ht="14.95" customHeight="1">
      <c r="A30" s="609"/>
      <c r="B30" s="148" t="s">
        <v>163</v>
      </c>
      <c r="C30" s="149">
        <v>0</v>
      </c>
      <c r="D30" s="150">
        <f>IFERROR(C30/C$35,"-")</f>
        <v>0</v>
      </c>
      <c r="E30" s="149">
        <v>4</v>
      </c>
      <c r="F30" s="150">
        <f>IFERROR(E30/E$35,"-")</f>
        <v>0.18181818181818182</v>
      </c>
      <c r="G30" s="149">
        <v>0</v>
      </c>
      <c r="H30" s="150">
        <f>IFERROR(G30/G$35,"-")</f>
        <v>0</v>
      </c>
      <c r="I30" s="149">
        <v>0</v>
      </c>
      <c r="J30" s="150">
        <f>IFERROR(I30/I$35,"-")</f>
        <v>0</v>
      </c>
      <c r="K30" s="149">
        <v>0</v>
      </c>
      <c r="L30" s="150">
        <f>IFERROR(K30/K$35,"-")</f>
        <v>0</v>
      </c>
      <c r="M30" s="149">
        <v>0</v>
      </c>
      <c r="N30" s="150" t="str">
        <f>IFERROR(M30/M$35,"-")</f>
        <v>-</v>
      </c>
      <c r="O30" s="149">
        <v>0</v>
      </c>
      <c r="P30" s="150" t="str">
        <f>IFERROR(O30/O$35,"-")</f>
        <v>-</v>
      </c>
      <c r="Q30" s="149">
        <v>0</v>
      </c>
      <c r="R30" s="150" t="str">
        <f>IFERROR(Q30/Q$35,"-")</f>
        <v>-</v>
      </c>
      <c r="S30" s="149">
        <v>0</v>
      </c>
      <c r="T30" s="150" t="str">
        <f>IFERROR(S30/S$35,"-")</f>
        <v>-</v>
      </c>
      <c r="U30" s="149">
        <v>0</v>
      </c>
      <c r="V30" s="150" t="str">
        <f>IFERROR(U30/U$35,"-")</f>
        <v>-</v>
      </c>
      <c r="W30" s="149">
        <v>0</v>
      </c>
      <c r="X30" s="150" t="str">
        <f>IFERROR(W30/W$35,"-")</f>
        <v>-</v>
      </c>
      <c r="Y30" s="149">
        <v>0</v>
      </c>
      <c r="Z30" s="150" t="str">
        <f>IFERROR(Y30/Y$35,"-")</f>
        <v>-</v>
      </c>
      <c r="AA30" s="268">
        <f>SUM(Y30,W30,U30,S30,Q30,O30,M30,K30,I30,G30,E30,C30)</f>
        <v>4</v>
      </c>
      <c r="AB30" s="269">
        <f>AA30/$AA$35</f>
        <v>3.4188034188034191E-2</v>
      </c>
      <c r="AC30" s="284">
        <f>AVERAGE(Y30,W30,U30,S30,Q30,O30,M30,K30,I30,G30,E30,C30)</f>
        <v>0.33333333333333331</v>
      </c>
    </row>
    <row r="31" spans="1:29" ht="14.95" customHeight="1">
      <c r="A31" s="609"/>
      <c r="B31" s="148" t="s">
        <v>160</v>
      </c>
      <c r="C31" s="149">
        <v>9</v>
      </c>
      <c r="D31" s="150">
        <f t="shared" ref="D31:H33" si="17">IFERROR(C31/C$35,"-")</f>
        <v>0.39130434782608697</v>
      </c>
      <c r="E31" s="149">
        <v>5</v>
      </c>
      <c r="F31" s="150">
        <f t="shared" si="17"/>
        <v>0.22727272727272727</v>
      </c>
      <c r="G31" s="149">
        <v>7</v>
      </c>
      <c r="H31" s="150">
        <f t="shared" si="17"/>
        <v>0.29166666666666669</v>
      </c>
      <c r="I31" s="149">
        <v>11</v>
      </c>
      <c r="J31" s="150">
        <f t="shared" ref="J31:J34" si="18">IFERROR(I31/I$35,"-")</f>
        <v>0.40740740740740738</v>
      </c>
      <c r="K31" s="149">
        <v>7</v>
      </c>
      <c r="L31" s="150">
        <f t="shared" ref="L31:L34" si="19">IFERROR(K31/K$35,"-")</f>
        <v>0.33333333333333331</v>
      </c>
      <c r="M31" s="149">
        <v>0</v>
      </c>
      <c r="N31" s="150" t="str">
        <f t="shared" ref="N31:N34" si="20">IFERROR(M31/M$35,"-")</f>
        <v>-</v>
      </c>
      <c r="O31" s="149">
        <v>0</v>
      </c>
      <c r="P31" s="150" t="str">
        <f t="shared" ref="P31:P34" si="21">IFERROR(O31/O$35,"-")</f>
        <v>-</v>
      </c>
      <c r="Q31" s="149">
        <v>0</v>
      </c>
      <c r="R31" s="150" t="str">
        <f>IFERROR(Q31/Q$35,"-")</f>
        <v>-</v>
      </c>
      <c r="S31" s="149">
        <v>0</v>
      </c>
      <c r="T31" s="150" t="str">
        <f t="shared" ref="T31:T34" si="22">IFERROR(S31/S$35,"-")</f>
        <v>-</v>
      </c>
      <c r="U31" s="149">
        <v>0</v>
      </c>
      <c r="V31" s="150" t="str">
        <f t="shared" ref="V31:V34" si="23">IFERROR(U31/U$35,"-")</f>
        <v>-</v>
      </c>
      <c r="W31" s="149">
        <v>0</v>
      </c>
      <c r="X31" s="150" t="str">
        <f t="shared" ref="X31:Z34" si="24">IFERROR(W31/W$35,"-")</f>
        <v>-</v>
      </c>
      <c r="Y31" s="149">
        <v>0</v>
      </c>
      <c r="Z31" s="150" t="str">
        <f t="shared" si="24"/>
        <v>-</v>
      </c>
      <c r="AA31" s="268">
        <f>SUM(Y31,W31,U31,S31,Q31,O31,M31,K31,I31,G31,E31,C31)</f>
        <v>39</v>
      </c>
      <c r="AB31" s="269">
        <f>AA31/$AA$35</f>
        <v>0.33333333333333331</v>
      </c>
      <c r="AC31" s="284">
        <f>AVERAGE(Y31,W31,U31,S31,Q31,O31,M31,K31,I31,G31,E31,C31)</f>
        <v>3.25</v>
      </c>
    </row>
    <row r="32" spans="1:29" ht="14.95" customHeight="1">
      <c r="A32" s="609"/>
      <c r="B32" s="148" t="s">
        <v>161</v>
      </c>
      <c r="C32" s="149">
        <v>0</v>
      </c>
      <c r="D32" s="150">
        <f t="shared" si="17"/>
        <v>0</v>
      </c>
      <c r="E32" s="149">
        <v>3</v>
      </c>
      <c r="F32" s="150">
        <f t="shared" si="17"/>
        <v>0.13636363636363635</v>
      </c>
      <c r="G32" s="149">
        <v>1</v>
      </c>
      <c r="H32" s="150">
        <f t="shared" si="17"/>
        <v>4.1666666666666664E-2</v>
      </c>
      <c r="I32" s="149">
        <v>1</v>
      </c>
      <c r="J32" s="150">
        <f t="shared" si="18"/>
        <v>3.7037037037037035E-2</v>
      </c>
      <c r="K32" s="149">
        <v>3</v>
      </c>
      <c r="L32" s="150">
        <f t="shared" si="19"/>
        <v>0.14285714285714285</v>
      </c>
      <c r="M32" s="149">
        <v>0</v>
      </c>
      <c r="N32" s="150" t="str">
        <f t="shared" si="20"/>
        <v>-</v>
      </c>
      <c r="O32" s="149">
        <v>0</v>
      </c>
      <c r="P32" s="150" t="str">
        <f t="shared" si="21"/>
        <v>-</v>
      </c>
      <c r="Q32" s="149">
        <v>0</v>
      </c>
      <c r="R32" s="150" t="str">
        <f>IFERROR(Q32/Q$35,"-")</f>
        <v>-</v>
      </c>
      <c r="S32" s="149">
        <v>0</v>
      </c>
      <c r="T32" s="150" t="str">
        <f t="shared" si="22"/>
        <v>-</v>
      </c>
      <c r="U32" s="149">
        <v>0</v>
      </c>
      <c r="V32" s="150" t="str">
        <f t="shared" si="23"/>
        <v>-</v>
      </c>
      <c r="W32" s="149">
        <v>0</v>
      </c>
      <c r="X32" s="150" t="str">
        <f t="shared" si="24"/>
        <v>-</v>
      </c>
      <c r="Y32" s="149">
        <v>0</v>
      </c>
      <c r="Z32" s="150" t="str">
        <f t="shared" si="24"/>
        <v>-</v>
      </c>
      <c r="AA32" s="268">
        <f>SUM(Y32,W32,U32,S32,Q32,O32,M32,K32,I32,G32,E32,C32)</f>
        <v>8</v>
      </c>
      <c r="AB32" s="269">
        <f>AA32/$AA$35</f>
        <v>6.8376068376068383E-2</v>
      </c>
      <c r="AC32" s="284">
        <f>AVERAGE(Y32,W32,U32,S32,Q32,O32,M32,K32,I32,G32,E32,C32)</f>
        <v>0.66666666666666663</v>
      </c>
    </row>
    <row r="33" spans="1:29" ht="14.95" customHeight="1">
      <c r="A33" s="609"/>
      <c r="B33" s="148" t="s">
        <v>25</v>
      </c>
      <c r="C33" s="149">
        <v>6</v>
      </c>
      <c r="D33" s="150">
        <f t="shared" si="17"/>
        <v>0.2608695652173913</v>
      </c>
      <c r="E33" s="149">
        <v>3</v>
      </c>
      <c r="F33" s="150">
        <f t="shared" si="17"/>
        <v>0.13636363636363635</v>
      </c>
      <c r="G33" s="149">
        <v>11</v>
      </c>
      <c r="H33" s="150">
        <f t="shared" si="17"/>
        <v>0.45833333333333331</v>
      </c>
      <c r="I33" s="149">
        <v>5</v>
      </c>
      <c r="J33" s="150">
        <f t="shared" si="18"/>
        <v>0.18518518518518517</v>
      </c>
      <c r="K33" s="149">
        <v>2</v>
      </c>
      <c r="L33" s="150">
        <f t="shared" si="19"/>
        <v>9.5238095238095233E-2</v>
      </c>
      <c r="M33" s="149">
        <v>0</v>
      </c>
      <c r="N33" s="150" t="str">
        <f t="shared" si="20"/>
        <v>-</v>
      </c>
      <c r="O33" s="149">
        <v>0</v>
      </c>
      <c r="P33" s="150" t="str">
        <f t="shared" si="21"/>
        <v>-</v>
      </c>
      <c r="Q33" s="149">
        <v>0</v>
      </c>
      <c r="R33" s="150" t="str">
        <f>IFERROR(Q33/Q$35,"-")</f>
        <v>-</v>
      </c>
      <c r="S33" s="149">
        <v>0</v>
      </c>
      <c r="T33" s="150" t="str">
        <f t="shared" si="22"/>
        <v>-</v>
      </c>
      <c r="U33" s="149">
        <v>0</v>
      </c>
      <c r="V33" s="150" t="str">
        <f t="shared" si="23"/>
        <v>-</v>
      </c>
      <c r="W33" s="149">
        <v>0</v>
      </c>
      <c r="X33" s="150" t="str">
        <f t="shared" si="24"/>
        <v>-</v>
      </c>
      <c r="Y33" s="149">
        <v>0</v>
      </c>
      <c r="Z33" s="150" t="str">
        <f t="shared" si="24"/>
        <v>-</v>
      </c>
      <c r="AA33" s="268">
        <f>SUM(Y33,W33,U33,S33,Q33,O33,M33,K33,I33,G33,E33,C33)</f>
        <v>27</v>
      </c>
      <c r="AB33" s="269">
        <f>AA33/$AA$35</f>
        <v>0.23076923076923078</v>
      </c>
      <c r="AC33" s="284">
        <f>AVERAGE(Y33,W33,U33,S33,Q33,O33,M33,K33,I33,G33,E33,C33)</f>
        <v>2.25</v>
      </c>
    </row>
    <row r="34" spans="1:29" ht="14.95" customHeight="1">
      <c r="A34" s="609"/>
      <c r="B34" s="148" t="s">
        <v>164</v>
      </c>
      <c r="C34" s="149">
        <v>8</v>
      </c>
      <c r="D34" s="150">
        <f>IFERROR(C34/C$35,"-")</f>
        <v>0.34782608695652173</v>
      </c>
      <c r="E34" s="149">
        <v>7</v>
      </c>
      <c r="F34" s="150">
        <f>IFERROR(E34/E$35,"-")</f>
        <v>0.31818181818181818</v>
      </c>
      <c r="G34" s="149">
        <v>5</v>
      </c>
      <c r="H34" s="150">
        <f>IFERROR(G34/G$35,"-")</f>
        <v>0.20833333333333334</v>
      </c>
      <c r="I34" s="149">
        <v>10</v>
      </c>
      <c r="J34" s="150">
        <f t="shared" si="18"/>
        <v>0.37037037037037035</v>
      </c>
      <c r="K34" s="149">
        <v>9</v>
      </c>
      <c r="L34" s="150">
        <f t="shared" si="19"/>
        <v>0.42857142857142855</v>
      </c>
      <c r="M34" s="149">
        <v>0</v>
      </c>
      <c r="N34" s="150" t="str">
        <f t="shared" si="20"/>
        <v>-</v>
      </c>
      <c r="O34" s="149">
        <v>0</v>
      </c>
      <c r="P34" s="150" t="str">
        <f t="shared" si="21"/>
        <v>-</v>
      </c>
      <c r="Q34" s="149">
        <v>0</v>
      </c>
      <c r="R34" s="150" t="str">
        <f>IFERROR(Q34/Q$35,"-")</f>
        <v>-</v>
      </c>
      <c r="S34" s="149">
        <v>0</v>
      </c>
      <c r="T34" s="150" t="str">
        <f t="shared" si="22"/>
        <v>-</v>
      </c>
      <c r="U34" s="149">
        <v>0</v>
      </c>
      <c r="V34" s="150" t="str">
        <f t="shared" si="23"/>
        <v>-</v>
      </c>
      <c r="W34" s="149">
        <v>0</v>
      </c>
      <c r="X34" s="150" t="str">
        <f t="shared" si="24"/>
        <v>-</v>
      </c>
      <c r="Y34" s="149">
        <v>0</v>
      </c>
      <c r="Z34" s="150" t="str">
        <f t="shared" si="24"/>
        <v>-</v>
      </c>
      <c r="AA34" s="268">
        <f>SUM(Y34,W34,U34,S34,Q34,O34,M34,K34,I34,G34,E34,C34)</f>
        <v>39</v>
      </c>
      <c r="AB34" s="269">
        <f>AA34/$AA$35</f>
        <v>0.33333333333333331</v>
      </c>
      <c r="AC34" s="284">
        <f>AVERAGE(Y34,W34,U34,S34,Q34,O34,M34,K34,I34,G34,E34,C34)</f>
        <v>3.25</v>
      </c>
    </row>
    <row r="35" spans="1:29" ht="15.8" customHeight="1" thickBot="1">
      <c r="A35" s="610"/>
      <c r="B35" s="157" t="s">
        <v>168</v>
      </c>
      <c r="C35" s="158">
        <f t="shared" ref="C35:AC35" si="25">SUM(C30:C34)</f>
        <v>23</v>
      </c>
      <c r="D35" s="153">
        <f t="shared" si="25"/>
        <v>1</v>
      </c>
      <c r="E35" s="158">
        <f t="shared" si="25"/>
        <v>22</v>
      </c>
      <c r="F35" s="153">
        <f t="shared" si="25"/>
        <v>1</v>
      </c>
      <c r="G35" s="158">
        <f t="shared" si="25"/>
        <v>24</v>
      </c>
      <c r="H35" s="153">
        <f t="shared" si="25"/>
        <v>1</v>
      </c>
      <c r="I35" s="158">
        <f t="shared" si="25"/>
        <v>27</v>
      </c>
      <c r="J35" s="153">
        <f t="shared" si="25"/>
        <v>0.99999999999999989</v>
      </c>
      <c r="K35" s="158">
        <f t="shared" si="25"/>
        <v>21</v>
      </c>
      <c r="L35" s="159">
        <f t="shared" si="25"/>
        <v>1</v>
      </c>
      <c r="M35" s="158">
        <f t="shared" si="25"/>
        <v>0</v>
      </c>
      <c r="N35" s="153">
        <f t="shared" si="25"/>
        <v>0</v>
      </c>
      <c r="O35" s="158">
        <f t="shared" si="25"/>
        <v>0</v>
      </c>
      <c r="P35" s="153">
        <f t="shared" si="25"/>
        <v>0</v>
      </c>
      <c r="Q35" s="158">
        <f t="shared" si="25"/>
        <v>0</v>
      </c>
      <c r="R35" s="153">
        <f t="shared" si="25"/>
        <v>0</v>
      </c>
      <c r="S35" s="158">
        <f t="shared" si="25"/>
        <v>0</v>
      </c>
      <c r="T35" s="153">
        <f t="shared" si="25"/>
        <v>0</v>
      </c>
      <c r="U35" s="158">
        <f t="shared" si="25"/>
        <v>0</v>
      </c>
      <c r="V35" s="159">
        <f t="shared" si="25"/>
        <v>0</v>
      </c>
      <c r="W35" s="158">
        <f t="shared" si="25"/>
        <v>0</v>
      </c>
      <c r="X35" s="159">
        <f t="shared" si="25"/>
        <v>0</v>
      </c>
      <c r="Y35" s="158">
        <f t="shared" si="25"/>
        <v>0</v>
      </c>
      <c r="Z35" s="159">
        <f t="shared" si="25"/>
        <v>0</v>
      </c>
      <c r="AA35" s="277">
        <f t="shared" si="25"/>
        <v>117</v>
      </c>
      <c r="AB35" s="272">
        <f t="shared" si="25"/>
        <v>1</v>
      </c>
      <c r="AC35" s="279">
        <f t="shared" si="25"/>
        <v>9.75</v>
      </c>
    </row>
    <row r="36" spans="1:29" ht="12.25" thickBot="1">
      <c r="A36" s="604" t="s">
        <v>19</v>
      </c>
      <c r="B36" s="614" t="s">
        <v>126</v>
      </c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5"/>
    </row>
    <row r="37" spans="1:29" ht="13.6">
      <c r="A37" s="605"/>
      <c r="B37" s="146"/>
      <c r="C37" s="597" t="s">
        <v>61</v>
      </c>
      <c r="D37" s="598"/>
      <c r="E37" s="597" t="s">
        <v>62</v>
      </c>
      <c r="F37" s="598"/>
      <c r="G37" s="597" t="s">
        <v>63</v>
      </c>
      <c r="H37" s="598"/>
      <c r="I37" s="597" t="s">
        <v>64</v>
      </c>
      <c r="J37" s="598"/>
      <c r="K37" s="597" t="s">
        <v>65</v>
      </c>
      <c r="L37" s="598"/>
      <c r="M37" s="597" t="s">
        <v>66</v>
      </c>
      <c r="N37" s="598"/>
      <c r="O37" s="597" t="s">
        <v>95</v>
      </c>
      <c r="P37" s="598"/>
      <c r="Q37" s="597" t="s">
        <v>102</v>
      </c>
      <c r="R37" s="598"/>
      <c r="S37" s="597" t="s">
        <v>103</v>
      </c>
      <c r="T37" s="598"/>
      <c r="U37" s="597" t="s">
        <v>104</v>
      </c>
      <c r="V37" s="598"/>
      <c r="W37" s="597" t="s">
        <v>105</v>
      </c>
      <c r="X37" s="598"/>
      <c r="Y37" s="597" t="s">
        <v>106</v>
      </c>
      <c r="Z37" s="598"/>
      <c r="AA37" s="595" t="s">
        <v>16</v>
      </c>
      <c r="AB37" s="596"/>
      <c r="AC37" s="283" t="s">
        <v>17</v>
      </c>
    </row>
    <row r="38" spans="1:29" ht="13.6">
      <c r="A38" s="605"/>
      <c r="B38" s="148" t="s">
        <v>159</v>
      </c>
      <c r="C38" s="149">
        <v>11</v>
      </c>
      <c r="D38" s="150">
        <f>IFERROR(C38/C$43,"-")</f>
        <v>8.59375E-2</v>
      </c>
      <c r="E38" s="149">
        <v>8</v>
      </c>
      <c r="F38" s="150">
        <f>IFERROR(E38/E$43,"-")</f>
        <v>7.6923076923076927E-2</v>
      </c>
      <c r="G38" s="149">
        <v>2</v>
      </c>
      <c r="H38" s="150">
        <f>IFERROR(G38/G$43,"-")</f>
        <v>1.2195121951219513E-2</v>
      </c>
      <c r="I38" s="149">
        <v>7</v>
      </c>
      <c r="J38" s="150">
        <f>IFERROR(I38/I$43,"-")</f>
        <v>5.8823529411764705E-2</v>
      </c>
      <c r="K38" s="149">
        <v>3</v>
      </c>
      <c r="L38" s="150">
        <f>IFERROR(K38/K$43,"-")</f>
        <v>2.2388059701492536E-2</v>
      </c>
      <c r="M38" s="149">
        <v>0</v>
      </c>
      <c r="N38" s="150" t="str">
        <f>IFERROR(M38/M$43,"-")</f>
        <v>-</v>
      </c>
      <c r="O38" s="149">
        <v>0</v>
      </c>
      <c r="P38" s="150" t="str">
        <f>IFERROR(O38/O$43,"-")</f>
        <v>-</v>
      </c>
      <c r="Q38" s="149">
        <v>0</v>
      </c>
      <c r="R38" s="150" t="str">
        <f>IFERROR(Q38/Q$43,"-")</f>
        <v>-</v>
      </c>
      <c r="S38" s="149">
        <v>0</v>
      </c>
      <c r="T38" s="150" t="str">
        <f>IFERROR(S38/S$43,"-")</f>
        <v>-</v>
      </c>
      <c r="U38" s="149">
        <v>0</v>
      </c>
      <c r="V38" s="150" t="str">
        <f>IFERROR(U38/U$43,"-")</f>
        <v>-</v>
      </c>
      <c r="W38" s="149">
        <v>0</v>
      </c>
      <c r="X38" s="150" t="str">
        <f>IFERROR(W38/W$43,"-")</f>
        <v>-</v>
      </c>
      <c r="Y38" s="149">
        <v>0</v>
      </c>
      <c r="Z38" s="150" t="str">
        <f>IFERROR(Y38/Y$43,"-")</f>
        <v>-</v>
      </c>
      <c r="AA38" s="268">
        <f>SUM(Y38,W38,U38,S38,Q38,O38,M38,K38,I38,G38,E38,C38)</f>
        <v>31</v>
      </c>
      <c r="AB38" s="269">
        <f>AA38/$AA$43</f>
        <v>4.7765793528505393E-2</v>
      </c>
      <c r="AC38" s="284">
        <f>AVERAGE(Y38,W38,U38,S38,Q38,O38,M38,K38,I38,G38,E38,C38)</f>
        <v>2.5833333333333335</v>
      </c>
    </row>
    <row r="39" spans="1:29" ht="13.6">
      <c r="A39" s="605"/>
      <c r="B39" s="148" t="s">
        <v>160</v>
      </c>
      <c r="C39" s="149">
        <v>17</v>
      </c>
      <c r="D39" s="150">
        <f t="shared" ref="D39:F42" si="26">IFERROR(C39/C$43,"-")</f>
        <v>0.1328125</v>
      </c>
      <c r="E39" s="149">
        <v>10</v>
      </c>
      <c r="F39" s="150">
        <f t="shared" si="26"/>
        <v>9.6153846153846159E-2</v>
      </c>
      <c r="G39" s="149">
        <v>7</v>
      </c>
      <c r="H39" s="150">
        <f>IFERROR(G39/G$43,"-")</f>
        <v>4.2682926829268296E-2</v>
      </c>
      <c r="I39" s="149">
        <v>1</v>
      </c>
      <c r="J39" s="150">
        <f t="shared" ref="J39:J42" si="27">IFERROR(I39/I$43,"-")</f>
        <v>8.4033613445378148E-3</v>
      </c>
      <c r="K39" s="149">
        <v>5</v>
      </c>
      <c r="L39" s="150">
        <f t="shared" ref="L39:L42" si="28">IFERROR(K39/K$43,"-")</f>
        <v>3.7313432835820892E-2</v>
      </c>
      <c r="M39" s="149">
        <v>0</v>
      </c>
      <c r="N39" s="150" t="str">
        <f t="shared" ref="N39:N42" si="29">IFERROR(M39/M$43,"-")</f>
        <v>-</v>
      </c>
      <c r="O39" s="149">
        <v>0</v>
      </c>
      <c r="P39" s="150" t="str">
        <f t="shared" ref="P39:P42" si="30">IFERROR(O39/O$43,"-")</f>
        <v>-</v>
      </c>
      <c r="Q39" s="149">
        <v>0</v>
      </c>
      <c r="R39" s="150" t="str">
        <f t="shared" ref="R39:R42" si="31">IFERROR(Q39/Q$43,"-")</f>
        <v>-</v>
      </c>
      <c r="S39" s="149">
        <v>0</v>
      </c>
      <c r="T39" s="150" t="str">
        <f t="shared" ref="T39:T42" si="32">IFERROR(S39/S$43,"-")</f>
        <v>-</v>
      </c>
      <c r="U39" s="149">
        <v>0</v>
      </c>
      <c r="V39" s="150" t="str">
        <f t="shared" ref="V39:V42" si="33">IFERROR(U39/U$43,"-")</f>
        <v>-</v>
      </c>
      <c r="W39" s="149">
        <v>0</v>
      </c>
      <c r="X39" s="150" t="str">
        <f t="shared" ref="X39:Z42" si="34">IFERROR(W39/W$43,"-")</f>
        <v>-</v>
      </c>
      <c r="Y39" s="149">
        <v>0</v>
      </c>
      <c r="Z39" s="150" t="str">
        <f t="shared" si="34"/>
        <v>-</v>
      </c>
      <c r="AA39" s="268">
        <f>SUM(Y39,W39,U39,S39,Q39,O39,M39,K39,I39,G39,E39,C39)</f>
        <v>40</v>
      </c>
      <c r="AB39" s="269">
        <f>AA39/$AA$43</f>
        <v>6.1633281972265024E-2</v>
      </c>
      <c r="AC39" s="284">
        <f>AVERAGE(Y39,W39,U39,S39,Q39,O39,M39,K39,I39,G39,E39,C39)</f>
        <v>3.3333333333333335</v>
      </c>
    </row>
    <row r="40" spans="1:29" ht="13.6">
      <c r="A40" s="605"/>
      <c r="B40" s="148" t="s">
        <v>161</v>
      </c>
      <c r="C40" s="149">
        <v>25</v>
      </c>
      <c r="D40" s="150">
        <f t="shared" si="26"/>
        <v>0.1953125</v>
      </c>
      <c r="E40" s="149">
        <v>16</v>
      </c>
      <c r="F40" s="150">
        <f t="shared" si="26"/>
        <v>0.15384615384615385</v>
      </c>
      <c r="G40" s="149">
        <v>12</v>
      </c>
      <c r="H40" s="150">
        <f>IFERROR(G40/G$43,"-")</f>
        <v>7.3170731707317069E-2</v>
      </c>
      <c r="I40" s="149">
        <v>13</v>
      </c>
      <c r="J40" s="150">
        <f t="shared" si="27"/>
        <v>0.1092436974789916</v>
      </c>
      <c r="K40" s="149">
        <v>23</v>
      </c>
      <c r="L40" s="150">
        <f t="shared" si="28"/>
        <v>0.17164179104477612</v>
      </c>
      <c r="M40" s="149">
        <v>0</v>
      </c>
      <c r="N40" s="150" t="str">
        <f t="shared" si="29"/>
        <v>-</v>
      </c>
      <c r="O40" s="149">
        <v>0</v>
      </c>
      <c r="P40" s="150" t="str">
        <f t="shared" si="30"/>
        <v>-</v>
      </c>
      <c r="Q40" s="149">
        <v>0</v>
      </c>
      <c r="R40" s="150" t="str">
        <f t="shared" si="31"/>
        <v>-</v>
      </c>
      <c r="S40" s="149">
        <v>0</v>
      </c>
      <c r="T40" s="150" t="str">
        <f t="shared" si="32"/>
        <v>-</v>
      </c>
      <c r="U40" s="149">
        <v>0</v>
      </c>
      <c r="V40" s="150" t="str">
        <f t="shared" si="33"/>
        <v>-</v>
      </c>
      <c r="W40" s="149">
        <v>0</v>
      </c>
      <c r="X40" s="150" t="str">
        <f t="shared" si="34"/>
        <v>-</v>
      </c>
      <c r="Y40" s="149">
        <v>0</v>
      </c>
      <c r="Z40" s="150" t="str">
        <f t="shared" si="34"/>
        <v>-</v>
      </c>
      <c r="AA40" s="268">
        <f>SUM(Y40,W40,U40,S40,Q40,O40,M40,K40,I40,G40,E40,C40)</f>
        <v>89</v>
      </c>
      <c r="AB40" s="269">
        <f>AA40/$AA$43</f>
        <v>0.13713405238828968</v>
      </c>
      <c r="AC40" s="284">
        <f>AVERAGE(Y40,W40,U40,S40,Q40,O40,M40,K40,I40,G40,E40,C40)</f>
        <v>7.416666666666667</v>
      </c>
    </row>
    <row r="41" spans="1:29" ht="13.6">
      <c r="A41" s="605"/>
      <c r="B41" s="148" t="s">
        <v>25</v>
      </c>
      <c r="C41" s="149">
        <v>4</v>
      </c>
      <c r="D41" s="150">
        <f t="shared" si="26"/>
        <v>3.125E-2</v>
      </c>
      <c r="E41" s="149">
        <v>9</v>
      </c>
      <c r="F41" s="150">
        <f t="shared" si="26"/>
        <v>8.6538461538461536E-2</v>
      </c>
      <c r="G41" s="149">
        <v>21</v>
      </c>
      <c r="H41" s="150">
        <f>IFERROR(G41/G$43,"-")</f>
        <v>0.12804878048780488</v>
      </c>
      <c r="I41" s="149">
        <v>15</v>
      </c>
      <c r="J41" s="150">
        <f t="shared" si="27"/>
        <v>0.12605042016806722</v>
      </c>
      <c r="K41" s="149">
        <v>17</v>
      </c>
      <c r="L41" s="150">
        <f t="shared" si="28"/>
        <v>0.12686567164179105</v>
      </c>
      <c r="M41" s="149">
        <v>0</v>
      </c>
      <c r="N41" s="150" t="str">
        <f t="shared" si="29"/>
        <v>-</v>
      </c>
      <c r="O41" s="149">
        <v>0</v>
      </c>
      <c r="P41" s="150" t="str">
        <f t="shared" si="30"/>
        <v>-</v>
      </c>
      <c r="Q41" s="149">
        <v>0</v>
      </c>
      <c r="R41" s="150" t="str">
        <f t="shared" si="31"/>
        <v>-</v>
      </c>
      <c r="S41" s="149">
        <v>0</v>
      </c>
      <c r="T41" s="150" t="str">
        <f t="shared" si="32"/>
        <v>-</v>
      </c>
      <c r="U41" s="149">
        <v>0</v>
      </c>
      <c r="V41" s="150" t="str">
        <f t="shared" si="33"/>
        <v>-</v>
      </c>
      <c r="W41" s="149">
        <v>0</v>
      </c>
      <c r="X41" s="150" t="str">
        <f t="shared" si="34"/>
        <v>-</v>
      </c>
      <c r="Y41" s="149">
        <v>0</v>
      </c>
      <c r="Z41" s="150" t="str">
        <f t="shared" si="34"/>
        <v>-</v>
      </c>
      <c r="AA41" s="268">
        <f>SUM(Y41,W41,U41,S41,Q41,O41,M41,K41,I41,G41,E41,C41)</f>
        <v>66</v>
      </c>
      <c r="AB41" s="269">
        <f>AA41/$AA$43</f>
        <v>0.10169491525423729</v>
      </c>
      <c r="AC41" s="284">
        <f>AVERAGE(Y41,W41,U41,S41,Q41,O41,M41,K41,I41,G41,E41,C41)</f>
        <v>5.5</v>
      </c>
    </row>
    <row r="42" spans="1:29" ht="13.6">
      <c r="A42" s="606"/>
      <c r="B42" s="148" t="s">
        <v>162</v>
      </c>
      <c r="C42" s="149">
        <v>71</v>
      </c>
      <c r="D42" s="150">
        <f t="shared" si="26"/>
        <v>0.5546875</v>
      </c>
      <c r="E42" s="149">
        <v>61</v>
      </c>
      <c r="F42" s="150">
        <f t="shared" si="26"/>
        <v>0.58653846153846156</v>
      </c>
      <c r="G42" s="149">
        <v>122</v>
      </c>
      <c r="H42" s="150">
        <f>IFERROR(G42/G$43,"-")</f>
        <v>0.74390243902439024</v>
      </c>
      <c r="I42" s="149">
        <v>83</v>
      </c>
      <c r="J42" s="150">
        <f t="shared" si="27"/>
        <v>0.69747899159663862</v>
      </c>
      <c r="K42" s="149">
        <v>86</v>
      </c>
      <c r="L42" s="150">
        <f t="shared" si="28"/>
        <v>0.64179104477611937</v>
      </c>
      <c r="M42" s="149">
        <v>0</v>
      </c>
      <c r="N42" s="150" t="str">
        <f t="shared" si="29"/>
        <v>-</v>
      </c>
      <c r="O42" s="149">
        <v>0</v>
      </c>
      <c r="P42" s="150" t="str">
        <f t="shared" si="30"/>
        <v>-</v>
      </c>
      <c r="Q42" s="149">
        <v>0</v>
      </c>
      <c r="R42" s="150" t="str">
        <f t="shared" si="31"/>
        <v>-</v>
      </c>
      <c r="S42" s="149">
        <v>0</v>
      </c>
      <c r="T42" s="150" t="str">
        <f t="shared" si="32"/>
        <v>-</v>
      </c>
      <c r="U42" s="149">
        <v>0</v>
      </c>
      <c r="V42" s="150" t="str">
        <f t="shared" si="33"/>
        <v>-</v>
      </c>
      <c r="W42" s="149">
        <v>0</v>
      </c>
      <c r="X42" s="150" t="str">
        <f t="shared" si="34"/>
        <v>-</v>
      </c>
      <c r="Y42" s="149">
        <v>0</v>
      </c>
      <c r="Z42" s="150" t="str">
        <f t="shared" si="34"/>
        <v>-</v>
      </c>
      <c r="AA42" s="268">
        <f>SUM(Y42,W42,U42,S42,Q42,O42,M42,K42,I42,G42,E42,C42)</f>
        <v>423</v>
      </c>
      <c r="AB42" s="269">
        <f>AA42/$AA$43</f>
        <v>0.65177195685670264</v>
      </c>
      <c r="AC42" s="284">
        <f>AVERAGE(Y42,W42,U42,S42,Q42,O42,M42,K42,I42,G42,E42,C42)</f>
        <v>35.25</v>
      </c>
    </row>
    <row r="43" spans="1:29" s="145" customFormat="1" ht="14.3" thickBot="1">
      <c r="A43" s="607"/>
      <c r="B43" s="157" t="s">
        <v>27</v>
      </c>
      <c r="C43" s="158">
        <f>SUM(C38:C42)</f>
        <v>128</v>
      </c>
      <c r="D43" s="153">
        <f>SUM(D38:D42)</f>
        <v>1</v>
      </c>
      <c r="E43" s="164">
        <f>SUM(E38:E42)</f>
        <v>104</v>
      </c>
      <c r="F43" s="159">
        <f>E43/$E$43</f>
        <v>1</v>
      </c>
      <c r="G43" s="164">
        <f>SUM(G38:G42)</f>
        <v>164</v>
      </c>
      <c r="H43" s="159">
        <f>G43/$G$43</f>
        <v>1</v>
      </c>
      <c r="I43" s="158">
        <f>SUM(I38:I42)</f>
        <v>119</v>
      </c>
      <c r="J43" s="153">
        <f>I43/$I$43</f>
        <v>1</v>
      </c>
      <c r="K43" s="164">
        <f>SUM(K38:K42)</f>
        <v>134</v>
      </c>
      <c r="L43" s="153">
        <f>SUM(L38:L42)</f>
        <v>1</v>
      </c>
      <c r="M43" s="158">
        <f>SUM(M38:M42)</f>
        <v>0</v>
      </c>
      <c r="N43" s="153" t="e">
        <f>M43/$M$43</f>
        <v>#DIV/0!</v>
      </c>
      <c r="O43" s="158">
        <f>SUM(O38:O42)</f>
        <v>0</v>
      </c>
      <c r="P43" s="153" t="e">
        <f>SUM(O43/O43)</f>
        <v>#DIV/0!</v>
      </c>
      <c r="Q43" s="158">
        <f>SUM(Q38:Q42)</f>
        <v>0</v>
      </c>
      <c r="R43" s="153" t="e">
        <f>Q43/$Q$43</f>
        <v>#DIV/0!</v>
      </c>
      <c r="S43" s="158">
        <f>SUM(S38:S42)</f>
        <v>0</v>
      </c>
      <c r="T43" s="153">
        <f t="shared" ref="T43" si="35">SUM(T38:T42)</f>
        <v>0</v>
      </c>
      <c r="U43" s="158">
        <f>SUM(U38:U42)</f>
        <v>0</v>
      </c>
      <c r="V43" s="153">
        <f>SUM(V38:V42)</f>
        <v>0</v>
      </c>
      <c r="W43" s="164">
        <f>SUM(W38:W42)</f>
        <v>0</v>
      </c>
      <c r="X43" s="153" t="e">
        <f>W43/$W$43</f>
        <v>#DIV/0!</v>
      </c>
      <c r="Y43" s="164">
        <f>SUM(Y38:Y42)</f>
        <v>0</v>
      </c>
      <c r="Z43" s="153">
        <f>SUM(Z38:Z42)</f>
        <v>0</v>
      </c>
      <c r="AA43" s="277">
        <f>SUM(AA38:AA42)</f>
        <v>649</v>
      </c>
      <c r="AB43" s="272">
        <f>SUM(AB38:AB42)</f>
        <v>1</v>
      </c>
      <c r="AC43" s="279">
        <f>SUM(AC38:AC42)</f>
        <v>54.083333333333336</v>
      </c>
    </row>
    <row r="44" spans="1:29" ht="12.25" thickBot="1">
      <c r="A44" s="604" t="s">
        <v>20</v>
      </c>
      <c r="B44" s="614" t="s">
        <v>127</v>
      </c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5"/>
    </row>
    <row r="45" spans="1:29" ht="13.6">
      <c r="A45" s="605"/>
      <c r="B45" s="146"/>
      <c r="C45" s="597" t="s">
        <v>61</v>
      </c>
      <c r="D45" s="598"/>
      <c r="E45" s="597" t="s">
        <v>62</v>
      </c>
      <c r="F45" s="598"/>
      <c r="G45" s="597" t="s">
        <v>63</v>
      </c>
      <c r="H45" s="598"/>
      <c r="I45" s="597" t="s">
        <v>64</v>
      </c>
      <c r="J45" s="598"/>
      <c r="K45" s="597" t="s">
        <v>65</v>
      </c>
      <c r="L45" s="598"/>
      <c r="M45" s="597" t="s">
        <v>66</v>
      </c>
      <c r="N45" s="598"/>
      <c r="O45" s="597" t="s">
        <v>95</v>
      </c>
      <c r="P45" s="598"/>
      <c r="Q45" s="597" t="s">
        <v>102</v>
      </c>
      <c r="R45" s="598"/>
      <c r="S45" s="597" t="s">
        <v>103</v>
      </c>
      <c r="T45" s="598"/>
      <c r="U45" s="597" t="s">
        <v>104</v>
      </c>
      <c r="V45" s="598"/>
      <c r="W45" s="597" t="s">
        <v>105</v>
      </c>
      <c r="X45" s="598"/>
      <c r="Y45" s="597" t="s">
        <v>106</v>
      </c>
      <c r="Z45" s="598"/>
      <c r="AA45" s="595" t="s">
        <v>16</v>
      </c>
      <c r="AB45" s="596"/>
      <c r="AC45" s="283" t="s">
        <v>17</v>
      </c>
    </row>
    <row r="46" spans="1:29" ht="13.6">
      <c r="A46" s="605"/>
      <c r="B46" s="148" t="s">
        <v>159</v>
      </c>
      <c r="C46" s="149">
        <v>0</v>
      </c>
      <c r="D46" s="150">
        <f>IFERROR(C46/C$51,"-")</f>
        <v>0</v>
      </c>
      <c r="E46" s="149">
        <v>0</v>
      </c>
      <c r="F46" s="150">
        <f>IFERROR(E46/E$51,"-")</f>
        <v>0</v>
      </c>
      <c r="G46" s="149">
        <v>0</v>
      </c>
      <c r="H46" s="150">
        <f>IFERROR(G46/G$51,"-")</f>
        <v>0</v>
      </c>
      <c r="I46" s="149">
        <v>0</v>
      </c>
      <c r="J46" s="150">
        <f>IFERROR(I46/I$51,"-")</f>
        <v>0</v>
      </c>
      <c r="K46" s="149">
        <v>0</v>
      </c>
      <c r="L46" s="150">
        <f>IFERROR(K46/K$51,"-")</f>
        <v>0</v>
      </c>
      <c r="M46" s="149">
        <v>0</v>
      </c>
      <c r="N46" s="150" t="str">
        <f>IFERROR(M46/M$51,"-")</f>
        <v>-</v>
      </c>
      <c r="O46" s="149">
        <v>0</v>
      </c>
      <c r="P46" s="150" t="str">
        <f>IFERROR(O46/O$51,"-")</f>
        <v>-</v>
      </c>
      <c r="Q46" s="149">
        <v>0</v>
      </c>
      <c r="R46" s="150" t="str">
        <f>IFERROR(Q46/Q$51,"-")</f>
        <v>-</v>
      </c>
      <c r="S46" s="149">
        <v>0</v>
      </c>
      <c r="T46" s="150" t="str">
        <f>IFERROR(S46/S$51,"-")</f>
        <v>-</v>
      </c>
      <c r="U46" s="149">
        <v>0</v>
      </c>
      <c r="V46" s="150" t="str">
        <f>IFERROR(U46/U$51,"-")</f>
        <v>-</v>
      </c>
      <c r="W46" s="149">
        <v>0</v>
      </c>
      <c r="X46" s="150" t="str">
        <f>IFERROR(W46/W$51,"-")</f>
        <v>-</v>
      </c>
      <c r="Y46" s="149">
        <v>0</v>
      </c>
      <c r="Z46" s="150" t="str">
        <f>IFERROR(Y46/Y$51,"-")</f>
        <v>-</v>
      </c>
      <c r="AA46" s="268">
        <f>SUM(Y46,W46,U46,S46,Q46,O46,M46,K46,I46,G46,E46,C46)</f>
        <v>0</v>
      </c>
      <c r="AB46" s="269">
        <f>AA46/$AA$51</f>
        <v>0</v>
      </c>
      <c r="AC46" s="284">
        <f>AVERAGE(Y46,W46,U46,S46,Q46,O46,M46,K46,I46,G46,E46,C46)</f>
        <v>0</v>
      </c>
    </row>
    <row r="47" spans="1:29" ht="13.6">
      <c r="A47" s="605"/>
      <c r="B47" s="148" t="s">
        <v>160</v>
      </c>
      <c r="C47" s="149">
        <v>0</v>
      </c>
      <c r="D47" s="150">
        <f>IFERROR(C47/C$51,"-")</f>
        <v>0</v>
      </c>
      <c r="E47" s="149">
        <v>0</v>
      </c>
      <c r="F47" s="150">
        <f>IFERROR(E47/E$51,"-")</f>
        <v>0</v>
      </c>
      <c r="G47" s="149">
        <v>0</v>
      </c>
      <c r="H47" s="150">
        <f>IFERROR(G47/G$51,"-")</f>
        <v>0</v>
      </c>
      <c r="I47" s="149">
        <v>0</v>
      </c>
      <c r="J47" s="150">
        <f t="shared" ref="J47:J50" si="36">IFERROR(I47/I$51,"-")</f>
        <v>0</v>
      </c>
      <c r="K47" s="149">
        <v>0</v>
      </c>
      <c r="L47" s="150">
        <f t="shared" ref="L47:L50" si="37">IFERROR(K47/K$51,"-")</f>
        <v>0</v>
      </c>
      <c r="M47" s="149">
        <v>0</v>
      </c>
      <c r="N47" s="150" t="str">
        <f t="shared" ref="N47:P50" si="38">IFERROR(M47/M$51,"-")</f>
        <v>-</v>
      </c>
      <c r="O47" s="149">
        <v>0</v>
      </c>
      <c r="P47" s="150" t="str">
        <f t="shared" si="38"/>
        <v>-</v>
      </c>
      <c r="Q47" s="149">
        <v>0</v>
      </c>
      <c r="R47" s="150" t="str">
        <f t="shared" ref="R47:R50" si="39">IFERROR(Q47/Q$51,"-")</f>
        <v>-</v>
      </c>
      <c r="S47" s="149">
        <v>0</v>
      </c>
      <c r="T47" s="150" t="str">
        <f t="shared" ref="T47:T50" si="40">IFERROR(S47/S$51,"-")</f>
        <v>-</v>
      </c>
      <c r="U47" s="149">
        <v>0</v>
      </c>
      <c r="V47" s="150" t="str">
        <f t="shared" ref="V47:V50" si="41">IFERROR(U47/U$51,"-")</f>
        <v>-</v>
      </c>
      <c r="W47" s="149">
        <v>0</v>
      </c>
      <c r="X47" s="150" t="str">
        <f t="shared" ref="X47:Z50" si="42">IFERROR(W47/W$51,"-")</f>
        <v>-</v>
      </c>
      <c r="Y47" s="149">
        <v>0</v>
      </c>
      <c r="Z47" s="150" t="str">
        <f t="shared" si="42"/>
        <v>-</v>
      </c>
      <c r="AA47" s="268">
        <f>SUM(Y47,W47,U47,S47,Q47,O47,M47,K47,I47,G47,E47,C47)</f>
        <v>0</v>
      </c>
      <c r="AB47" s="269">
        <f>AA47/$AA$51</f>
        <v>0</v>
      </c>
      <c r="AC47" s="284">
        <f>AVERAGE(Y47,W47,U47,S47,Q47,O47,M47,K47,I47,G47,E47,C47)</f>
        <v>0</v>
      </c>
    </row>
    <row r="48" spans="1:29" ht="13.6">
      <c r="A48" s="605"/>
      <c r="B48" s="148" t="s">
        <v>161</v>
      </c>
      <c r="C48" s="149">
        <v>1</v>
      </c>
      <c r="D48" s="150">
        <f>IFERROR(C48/C$51,"-")</f>
        <v>1.0869565217391304E-2</v>
      </c>
      <c r="E48" s="149">
        <v>12</v>
      </c>
      <c r="F48" s="150">
        <f>IFERROR(E48/E$51,"-")</f>
        <v>0.20689655172413793</v>
      </c>
      <c r="G48" s="149">
        <v>11</v>
      </c>
      <c r="H48" s="150">
        <f>IFERROR(G48/G$51,"-")</f>
        <v>0.17460317460317459</v>
      </c>
      <c r="I48" s="149">
        <v>10</v>
      </c>
      <c r="J48" s="150">
        <f t="shared" si="36"/>
        <v>0.1</v>
      </c>
      <c r="K48" s="149">
        <v>3</v>
      </c>
      <c r="L48" s="150">
        <f t="shared" si="37"/>
        <v>0.02</v>
      </c>
      <c r="M48" s="149">
        <v>0</v>
      </c>
      <c r="N48" s="150" t="str">
        <f t="shared" si="38"/>
        <v>-</v>
      </c>
      <c r="O48" s="149">
        <v>0</v>
      </c>
      <c r="P48" s="150" t="str">
        <f t="shared" si="38"/>
        <v>-</v>
      </c>
      <c r="Q48" s="149">
        <v>0</v>
      </c>
      <c r="R48" s="150" t="str">
        <f t="shared" si="39"/>
        <v>-</v>
      </c>
      <c r="S48" s="149">
        <v>0</v>
      </c>
      <c r="T48" s="150" t="str">
        <f t="shared" si="40"/>
        <v>-</v>
      </c>
      <c r="U48" s="149">
        <v>0</v>
      </c>
      <c r="V48" s="150" t="str">
        <f t="shared" si="41"/>
        <v>-</v>
      </c>
      <c r="W48" s="149">
        <v>0</v>
      </c>
      <c r="X48" s="150" t="str">
        <f t="shared" si="42"/>
        <v>-</v>
      </c>
      <c r="Y48" s="149">
        <v>0</v>
      </c>
      <c r="Z48" s="150" t="str">
        <f t="shared" si="42"/>
        <v>-</v>
      </c>
      <c r="AA48" s="268">
        <f>SUM(Y48,W48,U48,S48,Q48,O48,M48,K48,I48,G48,E48,C48)</f>
        <v>37</v>
      </c>
      <c r="AB48" s="269">
        <f>AA48/$AA$51</f>
        <v>7.9913606911447083E-2</v>
      </c>
      <c r="AC48" s="284">
        <f>AVERAGE(Y48,W48,U48,S48,Q48,O48,M48,K48,I48,G48,E48,C48)</f>
        <v>3.0833333333333335</v>
      </c>
    </row>
    <row r="49" spans="1:29" ht="13.6">
      <c r="A49" s="605"/>
      <c r="B49" s="148" t="s">
        <v>25</v>
      </c>
      <c r="C49" s="149">
        <v>15</v>
      </c>
      <c r="D49" s="150">
        <f>IFERROR(C49/C$51,"-")</f>
        <v>0.16304347826086957</v>
      </c>
      <c r="E49" s="149">
        <v>11</v>
      </c>
      <c r="F49" s="150">
        <f>IFERROR(E49/E$51,"-")</f>
        <v>0.18965517241379309</v>
      </c>
      <c r="G49" s="149">
        <v>11</v>
      </c>
      <c r="H49" s="150">
        <f>IFERROR(G49/G$51,"-")</f>
        <v>0.17460317460317459</v>
      </c>
      <c r="I49" s="149">
        <v>2</v>
      </c>
      <c r="J49" s="150">
        <f t="shared" si="36"/>
        <v>0.02</v>
      </c>
      <c r="K49" s="149">
        <v>18</v>
      </c>
      <c r="L49" s="150">
        <f t="shared" si="37"/>
        <v>0.12</v>
      </c>
      <c r="M49" s="149">
        <v>0</v>
      </c>
      <c r="N49" s="150" t="str">
        <f t="shared" si="38"/>
        <v>-</v>
      </c>
      <c r="O49" s="149">
        <v>0</v>
      </c>
      <c r="P49" s="150" t="str">
        <f t="shared" si="38"/>
        <v>-</v>
      </c>
      <c r="Q49" s="149">
        <v>0</v>
      </c>
      <c r="R49" s="150" t="str">
        <f t="shared" si="39"/>
        <v>-</v>
      </c>
      <c r="S49" s="149">
        <v>0</v>
      </c>
      <c r="T49" s="150" t="str">
        <f t="shared" si="40"/>
        <v>-</v>
      </c>
      <c r="U49" s="149">
        <v>0</v>
      </c>
      <c r="V49" s="150" t="str">
        <f t="shared" si="41"/>
        <v>-</v>
      </c>
      <c r="W49" s="149">
        <v>0</v>
      </c>
      <c r="X49" s="150" t="str">
        <f t="shared" si="42"/>
        <v>-</v>
      </c>
      <c r="Y49" s="149">
        <v>0</v>
      </c>
      <c r="Z49" s="150" t="str">
        <f t="shared" si="42"/>
        <v>-</v>
      </c>
      <c r="AA49" s="268">
        <f>SUM(Y49,W49,U49,S49,Q49,O49,M49,K49,I49,G49,E49,C49)</f>
        <v>57</v>
      </c>
      <c r="AB49" s="269">
        <f>AA49/$AA$51</f>
        <v>0.12311015118790497</v>
      </c>
      <c r="AC49" s="284">
        <f>AVERAGE(Y49,W49,U49,S49,Q49,O49,M49,K49,I49,G49,E49,C49)</f>
        <v>4.75</v>
      </c>
    </row>
    <row r="50" spans="1:29" ht="13.6">
      <c r="A50" s="605"/>
      <c r="B50" s="148" t="s">
        <v>162</v>
      </c>
      <c r="C50" s="149">
        <v>76</v>
      </c>
      <c r="D50" s="150">
        <f>IFERROR(C50/C$51,"-")</f>
        <v>0.82608695652173914</v>
      </c>
      <c r="E50" s="149">
        <v>35</v>
      </c>
      <c r="F50" s="150">
        <f>IFERROR(E50/E$51,"-")</f>
        <v>0.60344827586206895</v>
      </c>
      <c r="G50" s="149">
        <v>41</v>
      </c>
      <c r="H50" s="150">
        <f>IFERROR(G50/G$51,"-")</f>
        <v>0.65079365079365081</v>
      </c>
      <c r="I50" s="149">
        <v>88</v>
      </c>
      <c r="J50" s="150">
        <f t="shared" si="36"/>
        <v>0.88</v>
      </c>
      <c r="K50" s="149">
        <v>129</v>
      </c>
      <c r="L50" s="150">
        <f t="shared" si="37"/>
        <v>0.86</v>
      </c>
      <c r="M50" s="149">
        <v>0</v>
      </c>
      <c r="N50" s="150" t="str">
        <f t="shared" si="38"/>
        <v>-</v>
      </c>
      <c r="O50" s="149">
        <v>0</v>
      </c>
      <c r="P50" s="150" t="str">
        <f t="shared" si="38"/>
        <v>-</v>
      </c>
      <c r="Q50" s="149">
        <v>0</v>
      </c>
      <c r="R50" s="150" t="str">
        <f t="shared" si="39"/>
        <v>-</v>
      </c>
      <c r="S50" s="149">
        <v>0</v>
      </c>
      <c r="T50" s="150" t="str">
        <f t="shared" si="40"/>
        <v>-</v>
      </c>
      <c r="U50" s="149">
        <v>0</v>
      </c>
      <c r="V50" s="150" t="str">
        <f t="shared" si="41"/>
        <v>-</v>
      </c>
      <c r="W50" s="149">
        <v>0</v>
      </c>
      <c r="X50" s="150" t="str">
        <f t="shared" si="42"/>
        <v>-</v>
      </c>
      <c r="Y50" s="149">
        <v>0</v>
      </c>
      <c r="Z50" s="150" t="str">
        <f t="shared" si="42"/>
        <v>-</v>
      </c>
      <c r="AA50" s="268">
        <f>SUM(Y50,W50,U50,S50,Q50,O50,M50,K50,I50,G50,E50,C50)</f>
        <v>369</v>
      </c>
      <c r="AB50" s="269">
        <f>AA50/$AA$51</f>
        <v>0.79697624190064797</v>
      </c>
      <c r="AC50" s="284">
        <f>AVERAGE(Y50,W50,U50,S50,Q50,O50,M50,K50,I50,G50,E50,C50)</f>
        <v>30.75</v>
      </c>
    </row>
    <row r="51" spans="1:29" ht="14.3" thickBot="1">
      <c r="A51" s="607"/>
      <c r="B51" s="165" t="s">
        <v>28</v>
      </c>
      <c r="C51" s="166">
        <f>SUM(C46:C50)</f>
        <v>92</v>
      </c>
      <c r="D51" s="167">
        <f>SUM(D46:D50)</f>
        <v>1</v>
      </c>
      <c r="E51" s="166">
        <f>SUM(E46:E50)</f>
        <v>58</v>
      </c>
      <c r="F51" s="167">
        <f>E51/$E$51</f>
        <v>1</v>
      </c>
      <c r="G51" s="166">
        <f>SUM(G46:G50)</f>
        <v>63</v>
      </c>
      <c r="H51" s="167">
        <f>G51/$G$51</f>
        <v>1</v>
      </c>
      <c r="I51" s="166">
        <f>SUM(I46:I50)</f>
        <v>100</v>
      </c>
      <c r="J51" s="167">
        <f>I51/$I$51</f>
        <v>1</v>
      </c>
      <c r="K51" s="166">
        <f>SUM(K46:K50)</f>
        <v>150</v>
      </c>
      <c r="L51" s="167">
        <f>SUM(L46:L50)</f>
        <v>1</v>
      </c>
      <c r="M51" s="166">
        <f>SUM(M46:M50)</f>
        <v>0</v>
      </c>
      <c r="N51" s="167" t="e">
        <f>M51/$M$51</f>
        <v>#DIV/0!</v>
      </c>
      <c r="O51" s="166">
        <f>SUM(O46:O50)</f>
        <v>0</v>
      </c>
      <c r="P51" s="153" t="e">
        <f>SUM(O51/$O$51)</f>
        <v>#DIV/0!</v>
      </c>
      <c r="Q51" s="166">
        <f>SUM(Q46:Q50)</f>
        <v>0</v>
      </c>
      <c r="R51" s="153" t="e">
        <f>Q51/$Q$51</f>
        <v>#DIV/0!</v>
      </c>
      <c r="S51" s="166">
        <f>SUM(S46:S50)</f>
        <v>0</v>
      </c>
      <c r="T51" s="153">
        <f t="shared" ref="T51" si="43">SUM(T46:T50)</f>
        <v>0</v>
      </c>
      <c r="U51" s="166">
        <f>SUM(U46:U50)</f>
        <v>0</v>
      </c>
      <c r="V51" s="167">
        <f>SUM(V46:V50)</f>
        <v>0</v>
      </c>
      <c r="W51" s="166">
        <f>SUM(W46:W50)</f>
        <v>0</v>
      </c>
      <c r="X51" s="167" t="e">
        <f>W51/$W$51</f>
        <v>#DIV/0!</v>
      </c>
      <c r="Y51" s="166">
        <f>SUM(Y46:Y50)</f>
        <v>0</v>
      </c>
      <c r="Z51" s="167">
        <f>SUM(Z46:Z50)</f>
        <v>0</v>
      </c>
      <c r="AA51" s="285">
        <f>SUM(AA46:AA50)</f>
        <v>463</v>
      </c>
      <c r="AB51" s="286">
        <f>SUM(AB46:AB50)</f>
        <v>1</v>
      </c>
      <c r="AC51" s="287">
        <f>SUM(AC46:AC50)</f>
        <v>38.583333333333336</v>
      </c>
    </row>
    <row r="52" spans="1:29">
      <c r="A52" s="168"/>
      <c r="B52" s="169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70"/>
    </row>
    <row r="53" spans="1:29">
      <c r="A53" s="171"/>
      <c r="B53" s="172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3"/>
    </row>
    <row r="54" spans="1:29"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3"/>
    </row>
    <row r="55" spans="1:29"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3"/>
    </row>
    <row r="56" spans="1:29"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3"/>
    </row>
    <row r="57" spans="1:29"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3"/>
    </row>
    <row r="58" spans="1:29"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3"/>
    </row>
    <row r="59" spans="1:29"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3"/>
    </row>
    <row r="60" spans="1:29"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3"/>
    </row>
    <row r="61" spans="1:29"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3"/>
    </row>
    <row r="62" spans="1:29"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3"/>
    </row>
    <row r="63" spans="1:29"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3"/>
    </row>
    <row r="64" spans="1:29"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3"/>
    </row>
    <row r="65" spans="1:29"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3"/>
    </row>
    <row r="66" spans="1:29"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3"/>
    </row>
    <row r="67" spans="1:29">
      <c r="A67" s="174"/>
      <c r="B67" s="175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3"/>
    </row>
    <row r="68" spans="1:29" ht="12.1" customHeight="1">
      <c r="A68" s="174"/>
      <c r="B68" s="172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3"/>
    </row>
    <row r="69" spans="1:29" ht="12.75" customHeight="1">
      <c r="A69" s="174"/>
      <c r="B69" s="172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3"/>
    </row>
    <row r="70" spans="1:29">
      <c r="A70" s="171"/>
      <c r="B70" s="172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3"/>
    </row>
    <row r="71" spans="1:29">
      <c r="A71" s="171"/>
      <c r="B71" s="172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3"/>
    </row>
    <row r="72" spans="1:29">
      <c r="A72" s="171"/>
      <c r="B72" s="172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3"/>
    </row>
    <row r="73" spans="1:29">
      <c r="A73" s="171"/>
      <c r="B73" s="172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3"/>
    </row>
    <row r="74" spans="1:29">
      <c r="A74" s="171"/>
      <c r="B74" s="172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3"/>
    </row>
    <row r="75" spans="1:29">
      <c r="A75" s="171"/>
      <c r="B75" s="172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3"/>
    </row>
    <row r="76" spans="1:29">
      <c r="A76" s="171"/>
      <c r="B76" s="172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3"/>
    </row>
    <row r="77" spans="1:29">
      <c r="A77" s="171"/>
      <c r="B77" s="172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3"/>
    </row>
    <row r="78" spans="1:29">
      <c r="A78" s="171"/>
      <c r="B78" s="172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3"/>
    </row>
    <row r="79" spans="1:29">
      <c r="A79" s="171"/>
      <c r="B79" s="172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3"/>
    </row>
    <row r="80" spans="1:29">
      <c r="A80" s="171"/>
      <c r="B80" s="172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3"/>
    </row>
    <row r="81" spans="1:29">
      <c r="A81" s="171"/>
      <c r="B81" s="172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3"/>
    </row>
    <row r="82" spans="1:29">
      <c r="A82" s="171"/>
      <c r="B82" s="172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3"/>
    </row>
    <row r="83" spans="1:29">
      <c r="A83" s="171"/>
      <c r="B83" s="172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3"/>
    </row>
    <row r="84" spans="1:29">
      <c r="A84" s="171"/>
      <c r="B84" s="172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3"/>
    </row>
    <row r="85" spans="1:29">
      <c r="A85" s="171"/>
      <c r="B85" s="172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3"/>
    </row>
    <row r="86" spans="1:29">
      <c r="A86" s="171"/>
      <c r="B86" s="172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3"/>
    </row>
    <row r="87" spans="1:29">
      <c r="A87" s="168"/>
      <c r="B87" s="169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70"/>
    </row>
    <row r="106" spans="1:16" ht="14.95" customHeight="1">
      <c r="B106" s="621" t="s">
        <v>18</v>
      </c>
      <c r="C106" s="622"/>
      <c r="D106" s="622"/>
      <c r="E106" s="622"/>
      <c r="F106" s="622"/>
      <c r="G106" s="622"/>
      <c r="H106" s="622"/>
      <c r="I106" s="622"/>
      <c r="J106" s="622"/>
      <c r="K106" s="622"/>
      <c r="L106" s="622"/>
      <c r="M106" s="622"/>
      <c r="N106" s="623"/>
      <c r="O106" s="177"/>
      <c r="P106" s="177"/>
    </row>
    <row r="107" spans="1:16">
      <c r="B107" s="624" t="s">
        <v>123</v>
      </c>
      <c r="C107" s="625"/>
      <c r="D107" s="625"/>
      <c r="E107" s="625"/>
      <c r="F107" s="625"/>
      <c r="G107" s="625"/>
      <c r="H107" s="625"/>
      <c r="I107" s="625"/>
      <c r="J107" s="625"/>
      <c r="K107" s="625"/>
      <c r="L107" s="625"/>
      <c r="M107" s="625"/>
      <c r="N107" s="626"/>
      <c r="O107" s="254"/>
      <c r="P107" s="255"/>
    </row>
    <row r="108" spans="1:16">
      <c r="A108" s="177"/>
      <c r="B108" s="259"/>
      <c r="C108" s="253" t="s">
        <v>148</v>
      </c>
      <c r="D108" s="253" t="s">
        <v>130</v>
      </c>
      <c r="E108" s="253" t="s">
        <v>131</v>
      </c>
      <c r="F108" s="253" t="s">
        <v>132</v>
      </c>
      <c r="G108" s="253" t="s">
        <v>133</v>
      </c>
      <c r="H108" s="253" t="s">
        <v>134</v>
      </c>
      <c r="I108" s="253" t="s">
        <v>135</v>
      </c>
      <c r="J108" s="253" t="s">
        <v>136</v>
      </c>
      <c r="K108" s="253" t="s">
        <v>137</v>
      </c>
      <c r="L108" s="253" t="s">
        <v>138</v>
      </c>
      <c r="M108" s="253" t="s">
        <v>139</v>
      </c>
      <c r="N108" s="253" t="s">
        <v>140</v>
      </c>
      <c r="O108" s="255"/>
      <c r="P108" s="255"/>
    </row>
    <row r="109" spans="1:16">
      <c r="A109" s="177"/>
      <c r="B109" s="259" t="s">
        <v>78</v>
      </c>
      <c r="C109" s="178">
        <f>C6</f>
        <v>31</v>
      </c>
      <c r="D109" s="178">
        <f>E6</f>
        <v>31</v>
      </c>
      <c r="E109" s="179">
        <f>G6</f>
        <v>31</v>
      </c>
      <c r="F109" s="179">
        <f>I6</f>
        <v>42</v>
      </c>
      <c r="G109" s="179">
        <f>K6</f>
        <v>28</v>
      </c>
      <c r="H109" s="179">
        <f>M6</f>
        <v>0</v>
      </c>
      <c r="I109" s="179">
        <f>O6</f>
        <v>0</v>
      </c>
      <c r="J109" s="179">
        <f>Q6</f>
        <v>0</v>
      </c>
      <c r="K109" s="179">
        <f>S6</f>
        <v>0</v>
      </c>
      <c r="L109" s="179">
        <f>U6</f>
        <v>0</v>
      </c>
      <c r="M109" s="179">
        <f>W6</f>
        <v>0</v>
      </c>
      <c r="N109" s="260">
        <f>Y6</f>
        <v>0</v>
      </c>
      <c r="O109" s="181"/>
      <c r="P109" s="256"/>
    </row>
    <row r="110" spans="1:16">
      <c r="A110" s="177"/>
      <c r="B110" s="259" t="s">
        <v>185</v>
      </c>
      <c r="C110" s="178">
        <f t="shared" ref="C110:C112" si="44">C7</f>
        <v>0</v>
      </c>
      <c r="D110" s="178">
        <f t="shared" ref="D110:D112" si="45">E7</f>
        <v>0</v>
      </c>
      <c r="E110" s="179">
        <f t="shared" ref="E110:E112" si="46">G7</f>
        <v>0</v>
      </c>
      <c r="F110" s="179">
        <f t="shared" ref="F110:F112" si="47">I7</f>
        <v>1</v>
      </c>
      <c r="G110" s="179">
        <f>K7</f>
        <v>1</v>
      </c>
      <c r="H110" s="179">
        <f>M7</f>
        <v>0</v>
      </c>
      <c r="I110" s="179">
        <f>O7</f>
        <v>0</v>
      </c>
      <c r="J110" s="179">
        <f>Q7</f>
        <v>0</v>
      </c>
      <c r="K110" s="179">
        <f>S7</f>
        <v>0</v>
      </c>
      <c r="L110" s="179">
        <f>U7</f>
        <v>0</v>
      </c>
      <c r="M110" s="179">
        <f>W7</f>
        <v>0</v>
      </c>
      <c r="N110" s="260">
        <f>Y7</f>
        <v>0</v>
      </c>
      <c r="O110" s="257"/>
      <c r="P110" s="257"/>
    </row>
    <row r="111" spans="1:16">
      <c r="A111" s="177"/>
      <c r="B111" s="259" t="s">
        <v>79</v>
      </c>
      <c r="C111" s="178">
        <f t="shared" si="44"/>
        <v>20</v>
      </c>
      <c r="D111" s="178">
        <f t="shared" si="45"/>
        <v>14</v>
      </c>
      <c r="E111" s="179">
        <f t="shared" si="46"/>
        <v>26</v>
      </c>
      <c r="F111" s="179">
        <f t="shared" si="47"/>
        <v>20</v>
      </c>
      <c r="G111" s="179">
        <f>K8</f>
        <v>18</v>
      </c>
      <c r="H111" s="179">
        <f>M8</f>
        <v>0</v>
      </c>
      <c r="I111" s="179">
        <f>O8</f>
        <v>0</v>
      </c>
      <c r="J111" s="179">
        <f>Q8</f>
        <v>0</v>
      </c>
      <c r="K111" s="179">
        <f>S8</f>
        <v>0</v>
      </c>
      <c r="L111" s="179">
        <f>U8</f>
        <v>0</v>
      </c>
      <c r="M111" s="179">
        <f>W8</f>
        <v>0</v>
      </c>
      <c r="N111" s="260">
        <f>Y8</f>
        <v>0</v>
      </c>
      <c r="O111" s="181"/>
      <c r="P111" s="256"/>
    </row>
    <row r="112" spans="1:16">
      <c r="A112" s="177"/>
      <c r="B112" s="259" t="s">
        <v>128</v>
      </c>
      <c r="C112" s="178">
        <f t="shared" si="44"/>
        <v>0</v>
      </c>
      <c r="D112" s="178">
        <f t="shared" si="45"/>
        <v>1</v>
      </c>
      <c r="E112" s="179">
        <f t="shared" si="46"/>
        <v>0</v>
      </c>
      <c r="F112" s="179">
        <f t="shared" si="47"/>
        <v>1</v>
      </c>
      <c r="G112" s="179">
        <f>K9</f>
        <v>1</v>
      </c>
      <c r="H112" s="179">
        <f>M9</f>
        <v>0</v>
      </c>
      <c r="I112" s="179">
        <f>O9</f>
        <v>0</v>
      </c>
      <c r="J112" s="179">
        <f>Q9</f>
        <v>0</v>
      </c>
      <c r="K112" s="179">
        <f>S9</f>
        <v>0</v>
      </c>
      <c r="L112" s="179">
        <f>U9</f>
        <v>0</v>
      </c>
      <c r="M112" s="179">
        <f>W9</f>
        <v>0</v>
      </c>
      <c r="N112" s="260">
        <f>Y9</f>
        <v>0</v>
      </c>
      <c r="O112" s="181"/>
      <c r="P112" s="256"/>
    </row>
    <row r="113" spans="1:16">
      <c r="A113" s="177"/>
      <c r="B113" s="261" t="s">
        <v>80</v>
      </c>
      <c r="C113" s="262">
        <f t="shared" ref="C113:N113" si="48">SUM(C109:C112)</f>
        <v>51</v>
      </c>
      <c r="D113" s="262">
        <f t="shared" si="48"/>
        <v>46</v>
      </c>
      <c r="E113" s="262">
        <f t="shared" si="48"/>
        <v>57</v>
      </c>
      <c r="F113" s="262">
        <f t="shared" si="48"/>
        <v>64</v>
      </c>
      <c r="G113" s="262">
        <f t="shared" si="48"/>
        <v>48</v>
      </c>
      <c r="H113" s="262">
        <f t="shared" si="48"/>
        <v>0</v>
      </c>
      <c r="I113" s="262">
        <f t="shared" si="48"/>
        <v>0</v>
      </c>
      <c r="J113" s="262">
        <f t="shared" si="48"/>
        <v>0</v>
      </c>
      <c r="K113" s="262">
        <f t="shared" si="48"/>
        <v>0</v>
      </c>
      <c r="L113" s="262">
        <f t="shared" si="48"/>
        <v>0</v>
      </c>
      <c r="M113" s="262">
        <f t="shared" si="48"/>
        <v>0</v>
      </c>
      <c r="N113" s="263">
        <f t="shared" si="48"/>
        <v>0</v>
      </c>
      <c r="O113" s="181"/>
      <c r="P113" s="181"/>
    </row>
    <row r="114" spans="1:16">
      <c r="A114" s="177"/>
      <c r="B114" s="180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>
      <c r="A115" s="177"/>
      <c r="B115" s="621" t="s">
        <v>124</v>
      </c>
      <c r="C115" s="622"/>
      <c r="D115" s="622"/>
      <c r="E115" s="622"/>
      <c r="F115" s="622"/>
      <c r="G115" s="622"/>
      <c r="H115" s="622"/>
      <c r="I115" s="622"/>
      <c r="J115" s="622"/>
      <c r="K115" s="622"/>
      <c r="L115" s="622"/>
      <c r="M115" s="622"/>
      <c r="N115" s="623"/>
      <c r="O115" s="177"/>
      <c r="P115" s="177"/>
    </row>
    <row r="116" spans="1:16">
      <c r="A116" s="177"/>
      <c r="B116" s="259"/>
      <c r="C116" s="253" t="s">
        <v>148</v>
      </c>
      <c r="D116" s="253" t="s">
        <v>130</v>
      </c>
      <c r="E116" s="253" t="s">
        <v>131</v>
      </c>
      <c r="F116" s="253" t="s">
        <v>132</v>
      </c>
      <c r="G116" s="253" t="s">
        <v>133</v>
      </c>
      <c r="H116" s="253" t="s">
        <v>134</v>
      </c>
      <c r="I116" s="253" t="s">
        <v>135</v>
      </c>
      <c r="J116" s="253" t="s">
        <v>136</v>
      </c>
      <c r="K116" s="253" t="s">
        <v>137</v>
      </c>
      <c r="L116" s="253" t="s">
        <v>138</v>
      </c>
      <c r="M116" s="253" t="s">
        <v>139</v>
      </c>
      <c r="N116" s="253" t="s">
        <v>140</v>
      </c>
      <c r="O116" s="255"/>
      <c r="P116" s="255"/>
    </row>
    <row r="117" spans="1:16">
      <c r="A117" s="177"/>
      <c r="B117" s="259" t="s">
        <v>78</v>
      </c>
      <c r="C117" s="178">
        <f>C16</f>
        <v>12</v>
      </c>
      <c r="D117" s="178">
        <f>E16</f>
        <v>10</v>
      </c>
      <c r="E117" s="178">
        <f>G16</f>
        <v>13</v>
      </c>
      <c r="F117" s="178">
        <f>I16</f>
        <v>21</v>
      </c>
      <c r="G117" s="178">
        <f>K16</f>
        <v>5</v>
      </c>
      <c r="H117" s="178">
        <f>M16</f>
        <v>0</v>
      </c>
      <c r="I117" s="178">
        <f>O16</f>
        <v>0</v>
      </c>
      <c r="J117" s="178">
        <f>Q16</f>
        <v>0</v>
      </c>
      <c r="K117" s="178">
        <f>S16</f>
        <v>0</v>
      </c>
      <c r="L117" s="178">
        <f>U16</f>
        <v>0</v>
      </c>
      <c r="M117" s="178">
        <f>W16</f>
        <v>0</v>
      </c>
      <c r="N117" s="264">
        <f>Y16</f>
        <v>0</v>
      </c>
      <c r="O117" s="181"/>
      <c r="P117" s="258"/>
    </row>
    <row r="118" spans="1:16">
      <c r="A118" s="177"/>
      <c r="B118" s="259" t="s">
        <v>79</v>
      </c>
      <c r="C118" s="178">
        <f>C17</f>
        <v>10</v>
      </c>
      <c r="D118" s="178">
        <f>E17</f>
        <v>3</v>
      </c>
      <c r="E118" s="178">
        <f>G17</f>
        <v>16</v>
      </c>
      <c r="F118" s="178">
        <f>I17</f>
        <v>11</v>
      </c>
      <c r="G118" s="178">
        <f>K17</f>
        <v>6</v>
      </c>
      <c r="H118" s="178">
        <f>M17</f>
        <v>0</v>
      </c>
      <c r="I118" s="178">
        <f>O17</f>
        <v>0</v>
      </c>
      <c r="J118" s="178">
        <f>Q17</f>
        <v>0</v>
      </c>
      <c r="K118" s="178">
        <f>S17</f>
        <v>0</v>
      </c>
      <c r="L118" s="178">
        <f>U17</f>
        <v>0</v>
      </c>
      <c r="M118" s="178">
        <f>W17</f>
        <v>0</v>
      </c>
      <c r="N118" s="264">
        <f>Y17</f>
        <v>0</v>
      </c>
      <c r="O118" s="181"/>
      <c r="P118" s="258"/>
    </row>
    <row r="119" spans="1:16">
      <c r="A119" s="177"/>
      <c r="B119" s="259" t="s">
        <v>128</v>
      </c>
      <c r="C119" s="178">
        <f>C18</f>
        <v>0</v>
      </c>
      <c r="D119" s="178">
        <f>E18</f>
        <v>1</v>
      </c>
      <c r="E119" s="178">
        <f>G18</f>
        <v>0</v>
      </c>
      <c r="F119" s="178">
        <f>I18</f>
        <v>1</v>
      </c>
      <c r="G119" s="178">
        <f>K18</f>
        <v>1</v>
      </c>
      <c r="H119" s="178">
        <f>M18</f>
        <v>0</v>
      </c>
      <c r="I119" s="178">
        <f>O18</f>
        <v>0</v>
      </c>
      <c r="J119" s="178">
        <f>Q18</f>
        <v>0</v>
      </c>
      <c r="K119" s="178">
        <f>S18</f>
        <v>0</v>
      </c>
      <c r="L119" s="178">
        <f>U18</f>
        <v>0</v>
      </c>
      <c r="M119" s="178">
        <f>W18</f>
        <v>0</v>
      </c>
      <c r="N119" s="264">
        <f>Y18</f>
        <v>0</v>
      </c>
      <c r="O119" s="181"/>
      <c r="P119" s="258"/>
    </row>
    <row r="120" spans="1:16">
      <c r="A120" s="177"/>
      <c r="B120" s="261" t="s">
        <v>80</v>
      </c>
      <c r="C120" s="262">
        <f t="shared" ref="C120:N120" si="49">SUM(C117:C119)</f>
        <v>22</v>
      </c>
      <c r="D120" s="262">
        <f t="shared" si="49"/>
        <v>14</v>
      </c>
      <c r="E120" s="262">
        <f t="shared" si="49"/>
        <v>29</v>
      </c>
      <c r="F120" s="262">
        <f t="shared" si="49"/>
        <v>33</v>
      </c>
      <c r="G120" s="262">
        <f t="shared" si="49"/>
        <v>12</v>
      </c>
      <c r="H120" s="262">
        <f t="shared" si="49"/>
        <v>0</v>
      </c>
      <c r="I120" s="262">
        <f t="shared" si="49"/>
        <v>0</v>
      </c>
      <c r="J120" s="262">
        <f t="shared" si="49"/>
        <v>0</v>
      </c>
      <c r="K120" s="262">
        <f t="shared" si="49"/>
        <v>0</v>
      </c>
      <c r="L120" s="262">
        <f t="shared" si="49"/>
        <v>0</v>
      </c>
      <c r="M120" s="262">
        <f t="shared" si="49"/>
        <v>0</v>
      </c>
      <c r="N120" s="263">
        <f t="shared" si="49"/>
        <v>0</v>
      </c>
      <c r="O120" s="181"/>
      <c r="P120" s="181"/>
    </row>
  </sheetData>
  <mergeCells count="92">
    <mergeCell ref="A1:AC3"/>
    <mergeCell ref="B106:N106"/>
    <mergeCell ref="B107:N107"/>
    <mergeCell ref="B115:N115"/>
    <mergeCell ref="W5:X5"/>
    <mergeCell ref="B4:AC4"/>
    <mergeCell ref="W15:X15"/>
    <mergeCell ref="Y15:Z15"/>
    <mergeCell ref="AA15:AB15"/>
    <mergeCell ref="C15:D15"/>
    <mergeCell ref="E15:F15"/>
    <mergeCell ref="G15:H15"/>
    <mergeCell ref="I15:J15"/>
    <mergeCell ref="K15:L15"/>
    <mergeCell ref="M15:N15"/>
    <mergeCell ref="Y5:Z5"/>
    <mergeCell ref="S5:T5"/>
    <mergeCell ref="Q15:R15"/>
    <mergeCell ref="S15:T15"/>
    <mergeCell ref="A4:A5"/>
    <mergeCell ref="U5:V5"/>
    <mergeCell ref="C37:D37"/>
    <mergeCell ref="U15:V15"/>
    <mergeCell ref="G37:H37"/>
    <mergeCell ref="E37:F37"/>
    <mergeCell ref="M21:N21"/>
    <mergeCell ref="O21:P21"/>
    <mergeCell ref="Q37:R37"/>
    <mergeCell ref="O37:P37"/>
    <mergeCell ref="M37:N37"/>
    <mergeCell ref="K37:L37"/>
    <mergeCell ref="I37:J37"/>
    <mergeCell ref="O15:P15"/>
    <mergeCell ref="K29:L29"/>
    <mergeCell ref="I29:J29"/>
    <mergeCell ref="U37:V37"/>
    <mergeCell ref="S37:T37"/>
    <mergeCell ref="A36:A43"/>
    <mergeCell ref="C29:D29"/>
    <mergeCell ref="G29:H29"/>
    <mergeCell ref="E29:F29"/>
    <mergeCell ref="A44:A51"/>
    <mergeCell ref="A6:A35"/>
    <mergeCell ref="B20:AC20"/>
    <mergeCell ref="B28:AC28"/>
    <mergeCell ref="B36:AC36"/>
    <mergeCell ref="B44:AC44"/>
    <mergeCell ref="C21:D21"/>
    <mergeCell ref="B14:AC14"/>
    <mergeCell ref="E21:F21"/>
    <mergeCell ref="G21:H21"/>
    <mergeCell ref="I21:J21"/>
    <mergeCell ref="K21:L21"/>
    <mergeCell ref="W21:X21"/>
    <mergeCell ref="Y29:Z29"/>
    <mergeCell ref="S21:T21"/>
    <mergeCell ref="U21:V21"/>
    <mergeCell ref="W29:X29"/>
    <mergeCell ref="U29:V29"/>
    <mergeCell ref="S29:T29"/>
    <mergeCell ref="O29:P29"/>
    <mergeCell ref="M29:N29"/>
    <mergeCell ref="AA5:AB5"/>
    <mergeCell ref="C5:D5"/>
    <mergeCell ref="E5:F5"/>
    <mergeCell ref="G5:H5"/>
    <mergeCell ref="I5:J5"/>
    <mergeCell ref="K5:L5"/>
    <mergeCell ref="M5:N5"/>
    <mergeCell ref="O5:P5"/>
    <mergeCell ref="Q5:R5"/>
    <mergeCell ref="Q29:R29"/>
    <mergeCell ref="Y21:Z21"/>
    <mergeCell ref="AA21:AB21"/>
    <mergeCell ref="AA29:AB29"/>
    <mergeCell ref="Q21:R21"/>
    <mergeCell ref="U45:V45"/>
    <mergeCell ref="S45:T45"/>
    <mergeCell ref="G45:H45"/>
    <mergeCell ref="E45:F45"/>
    <mergeCell ref="C45:D45"/>
    <mergeCell ref="Q45:R45"/>
    <mergeCell ref="O45:P45"/>
    <mergeCell ref="M45:N45"/>
    <mergeCell ref="K45:L45"/>
    <mergeCell ref="I45:J45"/>
    <mergeCell ref="AA37:AB37"/>
    <mergeCell ref="Y37:Z37"/>
    <mergeCell ref="AA45:AB45"/>
    <mergeCell ref="Y45:Z45"/>
    <mergeCell ref="W45:X45"/>
    <mergeCell ref="W37:X37"/>
  </mergeCells>
  <phoneticPr fontId="60" type="noConversion"/>
  <printOptions horizontalCentered="1" verticalCentered="1"/>
  <pageMargins left="0" right="0" top="0.39370078740157483" bottom="0.39370078740157483" header="0.31496062992125984" footer="0.31496062992125984"/>
  <pageSetup paperSize="9" scale="71" fitToHeight="2" orientation="landscape" r:id="rId1"/>
  <headerFooter differentFirst="1">
    <oddHeader>&amp;L&amp;14&amp;G&amp;C&amp;"-,Negrito"&amp;12Prontos Socorros Municipais de Taboão da Serra 
SPDM - Associação Paulista para o Desenvolvimento da Medicina&amp;R&amp;14&amp;G</oddHeader>
    <oddFooter>&amp;R5</oddFooter>
    <evenFooter>&amp;R4</evenFooter>
    <firstHeader>&amp;L&amp;G&amp;C&amp;"-,Negrito"Prontos Socorros Municipais de Taboão da Serra 
SPDM - Associação Paulista para o Desenvolvimento da Medicina&amp;R&amp;G</firstHeader>
    <firstFooter>&amp;R4</firstFooter>
  </headerFooter>
  <rowBreaks count="1" manualBreakCount="1">
    <brk id="52" max="28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2:S54"/>
  <sheetViews>
    <sheetView showGridLines="0" view="pageBreakPreview" zoomScaleNormal="100" zoomScaleSheetLayoutView="100" zoomScalePageLayoutView="80" workbookViewId="0">
      <selection activeCell="S13" sqref="S13"/>
    </sheetView>
  </sheetViews>
  <sheetFormatPr defaultColWidth="9.125" defaultRowHeight="13.6"/>
  <cols>
    <col min="1" max="1" width="9" style="105" customWidth="1"/>
    <col min="2" max="2" width="19.125" style="105" bestFit="1" customWidth="1"/>
    <col min="3" max="16" width="10.125" style="105" customWidth="1"/>
    <col min="17" max="16384" width="9.125" style="105"/>
  </cols>
  <sheetData>
    <row r="2" spans="1:19" ht="14.3" thickBot="1"/>
    <row r="3" spans="1:19">
      <c r="A3" s="630" t="s">
        <v>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2"/>
    </row>
    <row r="4" spans="1:19">
      <c r="A4" s="635" t="s">
        <v>99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107">
        <v>2022</v>
      </c>
    </row>
    <row r="5" spans="1:19" ht="14.3">
      <c r="A5" s="627" t="s">
        <v>18</v>
      </c>
      <c r="B5" s="108"/>
      <c r="C5" s="109" t="s">
        <v>30</v>
      </c>
      <c r="D5" s="109" t="s">
        <v>31</v>
      </c>
      <c r="E5" s="109" t="s">
        <v>2</v>
      </c>
      <c r="F5" s="109" t="s">
        <v>32</v>
      </c>
      <c r="G5" s="109" t="s">
        <v>33</v>
      </c>
      <c r="H5" s="109" t="s">
        <v>54</v>
      </c>
      <c r="I5" s="109" t="s">
        <v>55</v>
      </c>
      <c r="J5" s="109" t="s">
        <v>56</v>
      </c>
      <c r="K5" s="109" t="s">
        <v>57</v>
      </c>
      <c r="L5" s="109" t="s">
        <v>58</v>
      </c>
      <c r="M5" s="109" t="s">
        <v>59</v>
      </c>
      <c r="N5" s="109" t="s">
        <v>60</v>
      </c>
      <c r="O5" s="11" t="s">
        <v>16</v>
      </c>
      <c r="P5" s="12" t="s">
        <v>17</v>
      </c>
    </row>
    <row r="6" spans="1:19" ht="14.3">
      <c r="A6" s="627"/>
      <c r="B6" s="111" t="s">
        <v>73</v>
      </c>
      <c r="C6" s="112">
        <v>13974</v>
      </c>
      <c r="D6" s="112">
        <v>12066</v>
      </c>
      <c r="E6" s="112">
        <v>15234</v>
      </c>
      <c r="F6" s="112">
        <v>13745</v>
      </c>
      <c r="G6" s="112">
        <v>14412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5">
        <f>SUM(C6:N6)</f>
        <v>69431</v>
      </c>
      <c r="P6" s="288">
        <f>AVERAGE(C6:N6)</f>
        <v>5785.916666666667</v>
      </c>
    </row>
    <row r="7" spans="1:19" ht="14.3">
      <c r="A7" s="627"/>
      <c r="B7" s="111" t="s">
        <v>74</v>
      </c>
      <c r="C7" s="112">
        <v>1102</v>
      </c>
      <c r="D7" s="112">
        <v>930</v>
      </c>
      <c r="E7" s="112">
        <v>1188</v>
      </c>
      <c r="F7" s="112">
        <v>1165</v>
      </c>
      <c r="G7" s="112">
        <v>1260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5">
        <f t="shared" ref="O7:O19" si="0">SUM(C7:N7)</f>
        <v>5645</v>
      </c>
      <c r="P7" s="288">
        <f>AVERAGE(C7:N7)</f>
        <v>470.41666666666669</v>
      </c>
    </row>
    <row r="8" spans="1:19" ht="14.3">
      <c r="A8" s="627"/>
      <c r="B8" s="111" t="s">
        <v>75</v>
      </c>
      <c r="C8" s="112">
        <v>741</v>
      </c>
      <c r="D8" s="112">
        <v>548</v>
      </c>
      <c r="E8" s="112">
        <v>666</v>
      </c>
      <c r="F8" s="112">
        <v>525</v>
      </c>
      <c r="G8" s="112">
        <v>568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5">
        <f t="shared" si="0"/>
        <v>3048</v>
      </c>
      <c r="P8" s="288">
        <f>AVERAGE(C8:N8)</f>
        <v>254</v>
      </c>
    </row>
    <row r="9" spans="1:19" ht="14.3">
      <c r="A9" s="627"/>
      <c r="B9" s="111" t="s">
        <v>76</v>
      </c>
      <c r="C9" s="112">
        <v>77</v>
      </c>
      <c r="D9" s="112">
        <v>72</v>
      </c>
      <c r="E9" s="112">
        <v>76</v>
      </c>
      <c r="F9" s="112">
        <v>78</v>
      </c>
      <c r="G9" s="112">
        <v>70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5">
        <f t="shared" si="0"/>
        <v>373</v>
      </c>
      <c r="P9" s="288">
        <f>AVERAGE(C9:N9)</f>
        <v>31.083333333333332</v>
      </c>
    </row>
    <row r="10" spans="1:19" ht="14.3">
      <c r="A10" s="627"/>
      <c r="B10" s="113" t="s">
        <v>37</v>
      </c>
      <c r="C10" s="114">
        <f>SUM(C6:C9)</f>
        <v>15894</v>
      </c>
      <c r="D10" s="114">
        <f>SUM(D6:D9)</f>
        <v>13616</v>
      </c>
      <c r="E10" s="114">
        <f>SUM(E6:E9)</f>
        <v>17164</v>
      </c>
      <c r="F10" s="114">
        <f t="shared" ref="F10:N10" si="1">SUM(F6:F9)</f>
        <v>15513</v>
      </c>
      <c r="G10" s="114">
        <f t="shared" si="1"/>
        <v>16310</v>
      </c>
      <c r="H10" s="114">
        <f t="shared" si="1"/>
        <v>0</v>
      </c>
      <c r="I10" s="114">
        <f t="shared" si="1"/>
        <v>0</v>
      </c>
      <c r="J10" s="114">
        <f t="shared" si="1"/>
        <v>0</v>
      </c>
      <c r="K10" s="114">
        <f t="shared" si="1"/>
        <v>0</v>
      </c>
      <c r="L10" s="114">
        <f t="shared" si="1"/>
        <v>0</v>
      </c>
      <c r="M10" s="114">
        <f t="shared" si="1"/>
        <v>0</v>
      </c>
      <c r="N10" s="114">
        <f t="shared" si="1"/>
        <v>0</v>
      </c>
      <c r="O10" s="70">
        <f>SUM(O6:O9)</f>
        <v>78497</v>
      </c>
      <c r="P10" s="289">
        <f>SUM(P6:P9)</f>
        <v>6541.416666666667</v>
      </c>
    </row>
    <row r="11" spans="1:19" ht="14.3">
      <c r="A11" s="627" t="s">
        <v>19</v>
      </c>
      <c r="B11" s="111" t="s">
        <v>73</v>
      </c>
      <c r="C11" s="112">
        <v>11430</v>
      </c>
      <c r="D11" s="112">
        <v>3559</v>
      </c>
      <c r="E11" s="112">
        <v>5304</v>
      </c>
      <c r="F11" s="112">
        <v>7123</v>
      </c>
      <c r="G11" s="112">
        <v>9556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5">
        <f t="shared" si="0"/>
        <v>36972</v>
      </c>
      <c r="P11" s="288">
        <f>IFERROR(AVERAGE(C11:N11),"-")</f>
        <v>3081</v>
      </c>
    </row>
    <row r="12" spans="1:19" ht="14.3">
      <c r="A12" s="627"/>
      <c r="B12" s="111" t="s">
        <v>74</v>
      </c>
      <c r="C12" s="112">
        <v>519</v>
      </c>
      <c r="D12" s="112">
        <v>174</v>
      </c>
      <c r="E12" s="112">
        <v>453</v>
      </c>
      <c r="F12" s="112">
        <v>376</v>
      </c>
      <c r="G12" s="112">
        <v>479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5">
        <f t="shared" si="0"/>
        <v>2001</v>
      </c>
      <c r="P12" s="288">
        <f>IFERROR(AVERAGE(C12:N12),"-")</f>
        <v>166.75</v>
      </c>
    </row>
    <row r="13" spans="1:19" ht="14.3">
      <c r="A13" s="627"/>
      <c r="B13" s="111" t="s">
        <v>75</v>
      </c>
      <c r="C13" s="112">
        <v>808</v>
      </c>
      <c r="D13" s="112">
        <v>260</v>
      </c>
      <c r="E13" s="112">
        <v>444</v>
      </c>
      <c r="F13" s="112">
        <v>571</v>
      </c>
      <c r="G13" s="112">
        <v>800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5">
        <f t="shared" si="0"/>
        <v>2883</v>
      </c>
      <c r="P13" s="288">
        <f>IFERROR(AVERAGE(C13:N13),"-")</f>
        <v>240.25</v>
      </c>
    </row>
    <row r="14" spans="1:19" ht="14.3">
      <c r="A14" s="627"/>
      <c r="B14" s="111" t="s">
        <v>76</v>
      </c>
      <c r="C14" s="112">
        <v>85</v>
      </c>
      <c r="D14" s="112">
        <v>29</v>
      </c>
      <c r="E14" s="112">
        <v>46</v>
      </c>
      <c r="F14" s="112">
        <v>84</v>
      </c>
      <c r="G14" s="112">
        <v>89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5">
        <f t="shared" si="0"/>
        <v>333</v>
      </c>
      <c r="P14" s="288">
        <f>IFERROR(AVERAGE(C14:N14),"-")</f>
        <v>27.75</v>
      </c>
    </row>
    <row r="15" spans="1:19" ht="14.3">
      <c r="A15" s="627"/>
      <c r="B15" s="113" t="s">
        <v>37</v>
      </c>
      <c r="C15" s="114">
        <f>SUM(C11:C14)</f>
        <v>12842</v>
      </c>
      <c r="D15" s="114">
        <f>SUM(D11:D14)</f>
        <v>4022</v>
      </c>
      <c r="E15" s="114">
        <f>SUM(E11:E14)</f>
        <v>6247</v>
      </c>
      <c r="F15" s="114">
        <f t="shared" ref="F15:N15" si="2">SUM(F11:F14)</f>
        <v>8154</v>
      </c>
      <c r="G15" s="115">
        <f t="shared" si="2"/>
        <v>10924</v>
      </c>
      <c r="H15" s="114">
        <f t="shared" si="2"/>
        <v>0</v>
      </c>
      <c r="I15" s="114">
        <f t="shared" si="2"/>
        <v>0</v>
      </c>
      <c r="J15" s="114">
        <f>SUM(J11:J14)</f>
        <v>0</v>
      </c>
      <c r="K15" s="114">
        <f t="shared" si="2"/>
        <v>0</v>
      </c>
      <c r="L15" s="114">
        <f t="shared" si="2"/>
        <v>0</v>
      </c>
      <c r="M15" s="114">
        <f t="shared" si="2"/>
        <v>0</v>
      </c>
      <c r="N15" s="114">
        <f t="shared" si="2"/>
        <v>0</v>
      </c>
      <c r="O15" s="70">
        <f>SUM(O11:O14)</f>
        <v>42189</v>
      </c>
      <c r="P15" s="289">
        <f>SUM(P11:P14)</f>
        <v>3515.75</v>
      </c>
      <c r="S15" s="116"/>
    </row>
    <row r="16" spans="1:19" ht="14.3">
      <c r="A16" s="627" t="s">
        <v>20</v>
      </c>
      <c r="B16" s="111" t="s">
        <v>73</v>
      </c>
      <c r="C16" s="112">
        <v>4871</v>
      </c>
      <c r="D16" s="112">
        <v>4954</v>
      </c>
      <c r="E16" s="112">
        <v>7194</v>
      </c>
      <c r="F16" s="112">
        <v>7131</v>
      </c>
      <c r="G16" s="112">
        <v>7442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5">
        <f t="shared" si="0"/>
        <v>31592</v>
      </c>
      <c r="P16" s="288">
        <f>IFERROR(AVERAGE(C16:N16),"-")</f>
        <v>2632.6666666666665</v>
      </c>
    </row>
    <row r="17" spans="1:16" ht="14.3">
      <c r="A17" s="627"/>
      <c r="B17" s="111" t="s">
        <v>74</v>
      </c>
      <c r="C17" s="112">
        <v>2307</v>
      </c>
      <c r="D17" s="112">
        <v>1256</v>
      </c>
      <c r="E17" s="112">
        <v>2012</v>
      </c>
      <c r="F17" s="112">
        <v>1857</v>
      </c>
      <c r="G17" s="112">
        <v>2292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5">
        <f t="shared" si="0"/>
        <v>9724</v>
      </c>
      <c r="P17" s="288">
        <f>IFERROR(AVERAGE(C17:N17),"-")</f>
        <v>810.33333333333337</v>
      </c>
    </row>
    <row r="18" spans="1:16" ht="14.3">
      <c r="A18" s="627"/>
      <c r="B18" s="111" t="s">
        <v>75</v>
      </c>
      <c r="C18" s="112">
        <v>542</v>
      </c>
      <c r="D18" s="112">
        <v>442</v>
      </c>
      <c r="E18" s="112">
        <v>519</v>
      </c>
      <c r="F18" s="112">
        <v>512</v>
      </c>
      <c r="G18" s="112">
        <v>745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5">
        <f t="shared" si="0"/>
        <v>2760</v>
      </c>
      <c r="P18" s="288">
        <f>IFERROR(AVERAGE(C18:N18),"-")</f>
        <v>230</v>
      </c>
    </row>
    <row r="19" spans="1:16" ht="14.3">
      <c r="A19" s="627"/>
      <c r="B19" s="111" t="s">
        <v>76</v>
      </c>
      <c r="C19" s="112">
        <v>39</v>
      </c>
      <c r="D19" s="112">
        <v>47</v>
      </c>
      <c r="E19" s="112">
        <v>78</v>
      </c>
      <c r="F19" s="112">
        <v>45</v>
      </c>
      <c r="G19" s="112">
        <v>43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5">
        <f t="shared" si="0"/>
        <v>252</v>
      </c>
      <c r="P19" s="288">
        <f>IFERROR(AVERAGE(C19:N19),"-")</f>
        <v>21</v>
      </c>
    </row>
    <row r="20" spans="1:16" ht="14.95" thickBot="1">
      <c r="A20" s="628"/>
      <c r="B20" s="117" t="s">
        <v>37</v>
      </c>
      <c r="C20" s="118">
        <f>SUM(C16:C19)</f>
        <v>7759</v>
      </c>
      <c r="D20" s="118">
        <f>SUM(D16:D19)</f>
        <v>6699</v>
      </c>
      <c r="E20" s="118">
        <f>SUM(E16:E19)</f>
        <v>9803</v>
      </c>
      <c r="F20" s="118">
        <f t="shared" ref="F20:N20" si="3">SUM(F16:F19)</f>
        <v>9545</v>
      </c>
      <c r="G20" s="118">
        <f t="shared" si="3"/>
        <v>10522</v>
      </c>
      <c r="H20" s="118">
        <f t="shared" si="3"/>
        <v>0</v>
      </c>
      <c r="I20" s="118">
        <f t="shared" si="3"/>
        <v>0</v>
      </c>
      <c r="J20" s="118">
        <f>SUM(J16:J19)</f>
        <v>0</v>
      </c>
      <c r="K20" s="118">
        <f>SUM(K16:K19)</f>
        <v>0</v>
      </c>
      <c r="L20" s="118">
        <f t="shared" si="3"/>
        <v>0</v>
      </c>
      <c r="M20" s="118">
        <f t="shared" si="3"/>
        <v>0</v>
      </c>
      <c r="N20" s="118">
        <f t="shared" si="3"/>
        <v>0</v>
      </c>
      <c r="O20" s="73">
        <f>SUM(O16:O19)</f>
        <v>44328</v>
      </c>
      <c r="P20" s="290">
        <f>SUM(P16:P19)</f>
        <v>3694</v>
      </c>
    </row>
    <row r="21" spans="1:16" ht="14.3">
      <c r="A21" s="119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291"/>
      <c r="P21" s="291"/>
    </row>
    <row r="22" spans="1:16" ht="14.3">
      <c r="A22" s="627" t="s">
        <v>1</v>
      </c>
      <c r="B22" s="108"/>
      <c r="C22" s="109" t="s">
        <v>4</v>
      </c>
      <c r="D22" s="109" t="s">
        <v>5</v>
      </c>
      <c r="E22" s="109" t="s">
        <v>6</v>
      </c>
      <c r="F22" s="109" t="s">
        <v>7</v>
      </c>
      <c r="G22" s="109" t="s">
        <v>8</v>
      </c>
      <c r="H22" s="109" t="s">
        <v>9</v>
      </c>
      <c r="I22" s="109" t="s">
        <v>10</v>
      </c>
      <c r="J22" s="109" t="s">
        <v>11</v>
      </c>
      <c r="K22" s="109" t="s">
        <v>12</v>
      </c>
      <c r="L22" s="109" t="s">
        <v>13</v>
      </c>
      <c r="M22" s="109" t="s">
        <v>14</v>
      </c>
      <c r="N22" s="109" t="s">
        <v>15</v>
      </c>
      <c r="O22" s="11" t="s">
        <v>16</v>
      </c>
      <c r="P22" s="12" t="s">
        <v>17</v>
      </c>
    </row>
    <row r="23" spans="1:16" ht="14.3">
      <c r="A23" s="627"/>
      <c r="B23" s="111" t="s">
        <v>73</v>
      </c>
      <c r="C23" s="112">
        <f t="shared" ref="C23:N26" si="4">SUM(C6,C11,C16)</f>
        <v>30275</v>
      </c>
      <c r="D23" s="112">
        <f t="shared" si="4"/>
        <v>20579</v>
      </c>
      <c r="E23" s="112">
        <f t="shared" si="4"/>
        <v>27732</v>
      </c>
      <c r="F23" s="112">
        <f t="shared" si="4"/>
        <v>27999</v>
      </c>
      <c r="G23" s="112">
        <f t="shared" si="4"/>
        <v>31410</v>
      </c>
      <c r="H23" s="112">
        <f t="shared" si="4"/>
        <v>0</v>
      </c>
      <c r="I23" s="112">
        <f t="shared" si="4"/>
        <v>0</v>
      </c>
      <c r="J23" s="112">
        <f t="shared" si="4"/>
        <v>0</v>
      </c>
      <c r="K23" s="112">
        <f t="shared" si="4"/>
        <v>0</v>
      </c>
      <c r="L23" s="112">
        <f t="shared" si="4"/>
        <v>0</v>
      </c>
      <c r="M23" s="112">
        <f t="shared" si="4"/>
        <v>0</v>
      </c>
      <c r="N23" s="112">
        <f t="shared" si="4"/>
        <v>0</v>
      </c>
      <c r="O23" s="5">
        <f>SUM(C23:N23)</f>
        <v>137995</v>
      </c>
      <c r="P23" s="288">
        <f>AVERAGE(C23:N23)</f>
        <v>11499.583333333334</v>
      </c>
    </row>
    <row r="24" spans="1:16" ht="14.3">
      <c r="A24" s="627"/>
      <c r="B24" s="111" t="s">
        <v>74</v>
      </c>
      <c r="C24" s="112">
        <f t="shared" si="4"/>
        <v>3928</v>
      </c>
      <c r="D24" s="112">
        <f t="shared" si="4"/>
        <v>2360</v>
      </c>
      <c r="E24" s="112">
        <f>SUM(E7,E12,E17)</f>
        <v>3653</v>
      </c>
      <c r="F24" s="112">
        <f t="shared" si="4"/>
        <v>3398</v>
      </c>
      <c r="G24" s="112">
        <f t="shared" si="4"/>
        <v>4031</v>
      </c>
      <c r="H24" s="112">
        <f t="shared" si="4"/>
        <v>0</v>
      </c>
      <c r="I24" s="112">
        <f t="shared" si="4"/>
        <v>0</v>
      </c>
      <c r="J24" s="112">
        <f t="shared" si="4"/>
        <v>0</v>
      </c>
      <c r="K24" s="112">
        <f t="shared" si="4"/>
        <v>0</v>
      </c>
      <c r="L24" s="112">
        <f t="shared" si="4"/>
        <v>0</v>
      </c>
      <c r="M24" s="112">
        <f t="shared" si="4"/>
        <v>0</v>
      </c>
      <c r="N24" s="112">
        <f t="shared" si="4"/>
        <v>0</v>
      </c>
      <c r="O24" s="5">
        <f>SUM(C24:N24)</f>
        <v>17370</v>
      </c>
      <c r="P24" s="288">
        <f>AVERAGE(C24:N24)</f>
        <v>1447.5</v>
      </c>
    </row>
    <row r="25" spans="1:16" ht="14.3">
      <c r="A25" s="627"/>
      <c r="B25" s="111" t="s">
        <v>75</v>
      </c>
      <c r="C25" s="112">
        <f t="shared" si="4"/>
        <v>2091</v>
      </c>
      <c r="D25" s="112">
        <f t="shared" si="4"/>
        <v>1250</v>
      </c>
      <c r="E25" s="112">
        <f t="shared" si="4"/>
        <v>1629</v>
      </c>
      <c r="F25" s="112">
        <f t="shared" si="4"/>
        <v>1608</v>
      </c>
      <c r="G25" s="112">
        <f t="shared" si="4"/>
        <v>2113</v>
      </c>
      <c r="H25" s="112">
        <f t="shared" si="4"/>
        <v>0</v>
      </c>
      <c r="I25" s="112">
        <f t="shared" si="4"/>
        <v>0</v>
      </c>
      <c r="J25" s="112">
        <f t="shared" si="4"/>
        <v>0</v>
      </c>
      <c r="K25" s="112">
        <f t="shared" si="4"/>
        <v>0</v>
      </c>
      <c r="L25" s="112">
        <f t="shared" si="4"/>
        <v>0</v>
      </c>
      <c r="M25" s="112">
        <f t="shared" si="4"/>
        <v>0</v>
      </c>
      <c r="N25" s="112">
        <f t="shared" si="4"/>
        <v>0</v>
      </c>
      <c r="O25" s="5">
        <f>SUM(C25:N25)</f>
        <v>8691</v>
      </c>
      <c r="P25" s="288">
        <f>AVERAGE(C25:N25)</f>
        <v>724.25</v>
      </c>
    </row>
    <row r="26" spans="1:16" ht="14.3">
      <c r="A26" s="627"/>
      <c r="B26" s="111" t="s">
        <v>76</v>
      </c>
      <c r="C26" s="112">
        <f t="shared" si="4"/>
        <v>201</v>
      </c>
      <c r="D26" s="112">
        <f t="shared" si="4"/>
        <v>148</v>
      </c>
      <c r="E26" s="112">
        <f t="shared" si="4"/>
        <v>200</v>
      </c>
      <c r="F26" s="112">
        <f t="shared" si="4"/>
        <v>207</v>
      </c>
      <c r="G26" s="112">
        <f t="shared" si="4"/>
        <v>202</v>
      </c>
      <c r="H26" s="112">
        <f t="shared" si="4"/>
        <v>0</v>
      </c>
      <c r="I26" s="112">
        <f t="shared" si="4"/>
        <v>0</v>
      </c>
      <c r="J26" s="112">
        <f t="shared" si="4"/>
        <v>0</v>
      </c>
      <c r="K26" s="112">
        <f t="shared" si="4"/>
        <v>0</v>
      </c>
      <c r="L26" s="112">
        <f t="shared" si="4"/>
        <v>0</v>
      </c>
      <c r="M26" s="112">
        <f t="shared" si="4"/>
        <v>0</v>
      </c>
      <c r="N26" s="112">
        <f t="shared" si="4"/>
        <v>0</v>
      </c>
      <c r="O26" s="5">
        <f>SUM(C26:N26)</f>
        <v>958</v>
      </c>
      <c r="P26" s="288">
        <f>AVERAGE(C26:N26)</f>
        <v>79.833333333333329</v>
      </c>
    </row>
    <row r="27" spans="1:16" ht="14.3">
      <c r="A27" s="627"/>
      <c r="B27" s="113" t="s">
        <v>37</v>
      </c>
      <c r="C27" s="114">
        <f t="shared" ref="C27:P27" si="5">SUM(C23:C26)</f>
        <v>36495</v>
      </c>
      <c r="D27" s="114">
        <f t="shared" si="5"/>
        <v>24337</v>
      </c>
      <c r="E27" s="114">
        <f t="shared" si="5"/>
        <v>33214</v>
      </c>
      <c r="F27" s="114">
        <f t="shared" si="5"/>
        <v>33212</v>
      </c>
      <c r="G27" s="114">
        <f t="shared" si="5"/>
        <v>37756</v>
      </c>
      <c r="H27" s="114">
        <f t="shared" si="5"/>
        <v>0</v>
      </c>
      <c r="I27" s="114">
        <f t="shared" si="5"/>
        <v>0</v>
      </c>
      <c r="J27" s="114">
        <f t="shared" si="5"/>
        <v>0</v>
      </c>
      <c r="K27" s="114">
        <f t="shared" si="5"/>
        <v>0</v>
      </c>
      <c r="L27" s="114">
        <f t="shared" si="5"/>
        <v>0</v>
      </c>
      <c r="M27" s="114">
        <f t="shared" si="5"/>
        <v>0</v>
      </c>
      <c r="N27" s="114">
        <f t="shared" si="5"/>
        <v>0</v>
      </c>
      <c r="O27" s="70">
        <f t="shared" si="5"/>
        <v>165014</v>
      </c>
      <c r="P27" s="289">
        <f t="shared" si="5"/>
        <v>13751.166666666668</v>
      </c>
    </row>
    <row r="28" spans="1:16" ht="14.3" thickBot="1"/>
    <row r="29" spans="1:16">
      <c r="A29" s="629" t="s">
        <v>18</v>
      </c>
      <c r="B29" s="633" t="s">
        <v>44</v>
      </c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4"/>
      <c r="P29" s="121"/>
    </row>
    <row r="30" spans="1:16">
      <c r="A30" s="627"/>
      <c r="B30" s="108"/>
      <c r="C30" s="109" t="s">
        <v>4</v>
      </c>
      <c r="D30" s="109" t="s">
        <v>5</v>
      </c>
      <c r="E30" s="109" t="s">
        <v>6</v>
      </c>
      <c r="F30" s="109" t="s">
        <v>7</v>
      </c>
      <c r="G30" s="109" t="s">
        <v>8</v>
      </c>
      <c r="H30" s="109" t="s">
        <v>9</v>
      </c>
      <c r="I30" s="109" t="s">
        <v>10</v>
      </c>
      <c r="J30" s="109" t="s">
        <v>11</v>
      </c>
      <c r="K30" s="109" t="s">
        <v>12</v>
      </c>
      <c r="L30" s="109" t="s">
        <v>13</v>
      </c>
      <c r="M30" s="109" t="s">
        <v>14</v>
      </c>
      <c r="N30" s="109" t="s">
        <v>15</v>
      </c>
      <c r="O30" s="110" t="s">
        <v>17</v>
      </c>
    </row>
    <row r="31" spans="1:16">
      <c r="A31" s="627"/>
      <c r="B31" s="111" t="s">
        <v>73</v>
      </c>
      <c r="C31" s="122">
        <f>IFERROR((C6/$C$10),"-")</f>
        <v>0.87919969799924502</v>
      </c>
      <c r="D31" s="122">
        <f>IFERROR((D6/D$10),"-")</f>
        <v>0.88616333725029373</v>
      </c>
      <c r="E31" s="122">
        <f>IFERROR((E6/$E$10),"-")</f>
        <v>0.88755534840363548</v>
      </c>
      <c r="F31" s="122">
        <f>IFERROR((F6/$F$10),"-")</f>
        <v>0.88603107071488429</v>
      </c>
      <c r="G31" s="122">
        <f>IFERROR((G6/$G$10),"-")</f>
        <v>0.88362967504598411</v>
      </c>
      <c r="H31" s="122" t="str">
        <f>IFERROR((H6/$H$10),"-")</f>
        <v>-</v>
      </c>
      <c r="I31" s="122" t="str">
        <f>IFERROR((I6/$I$10),"-")</f>
        <v>-</v>
      </c>
      <c r="J31" s="122" t="str">
        <f>IFERROR((J6/$J$10),"-")</f>
        <v>-</v>
      </c>
      <c r="K31" s="122" t="str">
        <f>IFERROR((K6/$K$10),"-")</f>
        <v>-</v>
      </c>
      <c r="L31" s="122" t="str">
        <f>IFERROR((L6/$L$10),"-")</f>
        <v>-</v>
      </c>
      <c r="M31" s="122" t="str">
        <f>IFERROR((M6/$M$10),"-")</f>
        <v>-</v>
      </c>
      <c r="N31" s="122" t="str">
        <f>IFERROR((N6/$N$10),"-")</f>
        <v>-</v>
      </c>
      <c r="O31" s="123">
        <f>IFERROR(AVERAGE(C31:N31),"-")</f>
        <v>0.88451582588280853</v>
      </c>
    </row>
    <row r="32" spans="1:16">
      <c r="A32" s="627"/>
      <c r="B32" s="111" t="s">
        <v>74</v>
      </c>
      <c r="C32" s="122">
        <f>IFERROR((C7/$C$10),"-")</f>
        <v>6.9334340002516676E-2</v>
      </c>
      <c r="D32" s="122">
        <f>IFERROR((D7/D$10),"-")</f>
        <v>6.830199764982374E-2</v>
      </c>
      <c r="E32" s="122">
        <f>IFERROR((E7/$E$10),"-")</f>
        <v>6.9214635283150777E-2</v>
      </c>
      <c r="F32" s="122">
        <f>IFERROR((F7/$F$10),"-")</f>
        <v>7.5098304647714817E-2</v>
      </c>
      <c r="G32" s="122">
        <f>IFERROR((G7/$G$10),"-")</f>
        <v>7.7253218884120178E-2</v>
      </c>
      <c r="H32" s="122" t="str">
        <f>IFERROR((H7/$H$10),"-")</f>
        <v>-</v>
      </c>
      <c r="I32" s="122" t="str">
        <f>IFERROR((I7/$I$10),"-")</f>
        <v>-</v>
      </c>
      <c r="J32" s="122" t="str">
        <f>IFERROR((J7/$J$10),"-")</f>
        <v>-</v>
      </c>
      <c r="K32" s="122" t="str">
        <f>IFERROR((K7/$K$10),"-")</f>
        <v>-</v>
      </c>
      <c r="L32" s="122" t="str">
        <f>IFERROR((L7/$L$10),"-")</f>
        <v>-</v>
      </c>
      <c r="M32" s="122" t="str">
        <f>IFERROR((M7/$M$10),"-")</f>
        <v>-</v>
      </c>
      <c r="N32" s="122" t="str">
        <f>IFERROR((N7/$N$10),"-")</f>
        <v>-</v>
      </c>
      <c r="O32" s="123">
        <f t="shared" ref="O32:O44" si="6">IFERROR(AVERAGE(C32:N32),"-")</f>
        <v>7.1840499293465226E-2</v>
      </c>
    </row>
    <row r="33" spans="1:15">
      <c r="A33" s="627"/>
      <c r="B33" s="111" t="s">
        <v>75</v>
      </c>
      <c r="C33" s="122">
        <f>IFERROR((C8/$C$10),"-")</f>
        <v>4.6621366553416387E-2</v>
      </c>
      <c r="D33" s="122">
        <f>IFERROR((D8/D$10),"-")</f>
        <v>4.0246768507638073E-2</v>
      </c>
      <c r="E33" s="122">
        <f>IFERROR((E8/$E$10),"-")</f>
        <v>3.8802144022372406E-2</v>
      </c>
      <c r="F33" s="122">
        <f>IFERROR((F8/$F$10),"-")</f>
        <v>3.3842583639528134E-2</v>
      </c>
      <c r="G33" s="122">
        <f>IFERROR((G8/$G$10),"-")</f>
        <v>3.482526057633354E-2</v>
      </c>
      <c r="H33" s="122" t="str">
        <f>IFERROR((H8/$H$10),"-")</f>
        <v>-</v>
      </c>
      <c r="I33" s="122" t="str">
        <f>IFERROR((I8/$I$10),"-")</f>
        <v>-</v>
      </c>
      <c r="J33" s="122" t="str">
        <f>IFERROR((J8/$J$10),"-")</f>
        <v>-</v>
      </c>
      <c r="K33" s="122" t="str">
        <f>IFERROR((K8/$K$10),"-")</f>
        <v>-</v>
      </c>
      <c r="L33" s="122" t="str">
        <f>IFERROR((L8/$L$10),"-")</f>
        <v>-</v>
      </c>
      <c r="M33" s="122" t="str">
        <f>IFERROR((M8/$M$10),"-")</f>
        <v>-</v>
      </c>
      <c r="N33" s="122" t="str">
        <f>IFERROR((N8/$N$10),"-")</f>
        <v>-</v>
      </c>
      <c r="O33" s="123">
        <f t="shared" si="6"/>
        <v>3.8867624659857707E-2</v>
      </c>
    </row>
    <row r="34" spans="1:15">
      <c r="A34" s="627"/>
      <c r="B34" s="111" t="s">
        <v>76</v>
      </c>
      <c r="C34" s="122">
        <f>IFERROR((C9/$C$10),"-")</f>
        <v>4.8445954448219451E-3</v>
      </c>
      <c r="D34" s="122">
        <f>IFERROR((D9/D$10),"-")</f>
        <v>5.2878965922444187E-3</v>
      </c>
      <c r="E34" s="122">
        <f>IFERROR((E9/$E$10),"-")</f>
        <v>4.4278722908412957E-3</v>
      </c>
      <c r="F34" s="122">
        <f>IFERROR((F9/$F$10),"-")</f>
        <v>5.0280409978727516E-3</v>
      </c>
      <c r="G34" s="122">
        <f>IFERROR((G9/$G$10),"-")</f>
        <v>4.2918454935622317E-3</v>
      </c>
      <c r="H34" s="122" t="str">
        <f>IFERROR((H9/$H$10),"-")</f>
        <v>-</v>
      </c>
      <c r="I34" s="122" t="str">
        <f>IFERROR((I9/$I$10),"-")</f>
        <v>-</v>
      </c>
      <c r="J34" s="122" t="str">
        <f>IFERROR((J9/$J$10),"-")</f>
        <v>-</v>
      </c>
      <c r="K34" s="122" t="str">
        <f>IFERROR((K9/$K$10),"-")</f>
        <v>-</v>
      </c>
      <c r="L34" s="122" t="str">
        <f>IFERROR((L9/$L$10),"-")</f>
        <v>-</v>
      </c>
      <c r="M34" s="122" t="str">
        <f>IFERROR((M9/$M$10),"-")</f>
        <v>-</v>
      </c>
      <c r="N34" s="122" t="str">
        <f>IFERROR((N9/$N$10),"-")</f>
        <v>-</v>
      </c>
      <c r="O34" s="123">
        <f t="shared" si="6"/>
        <v>4.7760501638685286E-3</v>
      </c>
    </row>
    <row r="35" spans="1:15">
      <c r="A35" s="627"/>
      <c r="B35" s="124" t="s">
        <v>37</v>
      </c>
      <c r="C35" s="125">
        <f>SUM(C31:C34)</f>
        <v>1</v>
      </c>
      <c r="D35" s="125">
        <f>SUM(D31:D34)</f>
        <v>0.99999999999999989</v>
      </c>
      <c r="E35" s="125">
        <f t="shared" ref="E35:O35" si="7">SUM(E31:E34)</f>
        <v>0.99999999999999989</v>
      </c>
      <c r="F35" s="125">
        <f t="shared" si="7"/>
        <v>1</v>
      </c>
      <c r="G35" s="125">
        <f t="shared" si="7"/>
        <v>1</v>
      </c>
      <c r="H35" s="125">
        <f t="shared" si="7"/>
        <v>0</v>
      </c>
      <c r="I35" s="125">
        <f t="shared" si="7"/>
        <v>0</v>
      </c>
      <c r="J35" s="125">
        <f t="shared" si="7"/>
        <v>0</v>
      </c>
      <c r="K35" s="125">
        <f t="shared" si="7"/>
        <v>0</v>
      </c>
      <c r="L35" s="125">
        <f t="shared" si="7"/>
        <v>0</v>
      </c>
      <c r="M35" s="125">
        <f t="shared" si="7"/>
        <v>0</v>
      </c>
      <c r="N35" s="125">
        <f t="shared" si="7"/>
        <v>0</v>
      </c>
      <c r="O35" s="125">
        <f t="shared" si="7"/>
        <v>1</v>
      </c>
    </row>
    <row r="36" spans="1:15">
      <c r="A36" s="627" t="s">
        <v>19</v>
      </c>
      <c r="B36" s="111" t="s">
        <v>73</v>
      </c>
      <c r="C36" s="122">
        <f>IFERROR((C11/$C$15),"-")</f>
        <v>0.89004827908425477</v>
      </c>
      <c r="D36" s="122">
        <f>IFERROR((D11/$D$15),"-")</f>
        <v>0.88488314271506718</v>
      </c>
      <c r="E36" s="122">
        <f>IFERROR((E11/$E$15),"-")</f>
        <v>0.84904754282055384</v>
      </c>
      <c r="F36" s="122">
        <f>IFERROR((F11/$F$15),"-")</f>
        <v>0.87355898945302923</v>
      </c>
      <c r="G36" s="122">
        <f>IFERROR((G11/$G$15),"-")</f>
        <v>0.87477114610032958</v>
      </c>
      <c r="H36" s="122" t="str">
        <f>IFERROR((H11/$H$15),"-")</f>
        <v>-</v>
      </c>
      <c r="I36" s="122" t="str">
        <f>IFERROR((I11/$I$15),"-")</f>
        <v>-</v>
      </c>
      <c r="J36" s="122" t="str">
        <f>IFERROR((J11/$J$15),"-")</f>
        <v>-</v>
      </c>
      <c r="K36" s="122" t="str">
        <f>IFERROR((K11/$K$15),"-")</f>
        <v>-</v>
      </c>
      <c r="L36" s="122" t="str">
        <f>IFERROR((L11/$L$15),"-")</f>
        <v>-</v>
      </c>
      <c r="M36" s="122" t="str">
        <f>IFERROR((M11/$M$15),"-")</f>
        <v>-</v>
      </c>
      <c r="N36" s="122" t="str">
        <f>IFERROR((N11/$N$15),"-")</f>
        <v>-</v>
      </c>
      <c r="O36" s="123">
        <f t="shared" si="6"/>
        <v>0.8744618200346469</v>
      </c>
    </row>
    <row r="37" spans="1:15">
      <c r="A37" s="627"/>
      <c r="B37" s="111" t="s">
        <v>74</v>
      </c>
      <c r="C37" s="122">
        <f>IFERROR((C12/$C$15),"-")</f>
        <v>4.0414265690702382E-2</v>
      </c>
      <c r="D37" s="122">
        <f>IFERROR((D12/$D$15),"-")</f>
        <v>4.3262058677274985E-2</v>
      </c>
      <c r="E37" s="122">
        <f>IFERROR((E12/$E$15),"-")</f>
        <v>7.2514807107411552E-2</v>
      </c>
      <c r="F37" s="122">
        <f>IFERROR((F12/$F$15),"-")</f>
        <v>4.6112337503065981E-2</v>
      </c>
      <c r="G37" s="122">
        <f>IFERROR((G12/$G$15),"-")</f>
        <v>4.3848407176858291E-2</v>
      </c>
      <c r="H37" s="122" t="str">
        <f>IFERROR((H12/$H$15),"-")</f>
        <v>-</v>
      </c>
      <c r="I37" s="122" t="str">
        <f>IFERROR((I12/$I$15),"-")</f>
        <v>-</v>
      </c>
      <c r="J37" s="122" t="str">
        <f>IFERROR((J12/$J$15),"-")</f>
        <v>-</v>
      </c>
      <c r="K37" s="122" t="str">
        <f>IFERROR((K12/$K$15),"-")</f>
        <v>-</v>
      </c>
      <c r="L37" s="122" t="str">
        <f>IFERROR((L12/$L$15),"-")</f>
        <v>-</v>
      </c>
      <c r="M37" s="122" t="str">
        <f>IFERROR((M12/$M$15),"-")</f>
        <v>-</v>
      </c>
      <c r="N37" s="122" t="str">
        <f>IFERROR((N12/$N$15),"-")</f>
        <v>-</v>
      </c>
      <c r="O37" s="123">
        <f t="shared" si="6"/>
        <v>4.9230375231062641E-2</v>
      </c>
    </row>
    <row r="38" spans="1:15">
      <c r="A38" s="627"/>
      <c r="B38" s="111" t="s">
        <v>75</v>
      </c>
      <c r="C38" s="122">
        <f>IFERROR((C13/$C$15),"-")</f>
        <v>6.2918548512692726E-2</v>
      </c>
      <c r="D38" s="122">
        <f>IFERROR((D13/$D$15),"-")</f>
        <v>6.4644455494778721E-2</v>
      </c>
      <c r="E38" s="122">
        <f>IFERROR((E13/$E$15),"-")</f>
        <v>7.1074115575476229E-2</v>
      </c>
      <c r="F38" s="122">
        <f>IFERROR((F13/$F$15),"-")</f>
        <v>7.0026980623007107E-2</v>
      </c>
      <c r="G38" s="122">
        <f>IFERROR((G13/$G$15),"-")</f>
        <v>7.3233247894544121E-2</v>
      </c>
      <c r="H38" s="122" t="str">
        <f>IFERROR((H13/$H$15),"-")</f>
        <v>-</v>
      </c>
      <c r="I38" s="122" t="str">
        <f>IFERROR((I13/$I$15),"-")</f>
        <v>-</v>
      </c>
      <c r="J38" s="122" t="str">
        <f>IFERROR((J13/$J$15),"-")</f>
        <v>-</v>
      </c>
      <c r="K38" s="122" t="str">
        <f>IFERROR((K13/$K$15),"-")</f>
        <v>-</v>
      </c>
      <c r="L38" s="122" t="str">
        <f>IFERROR((L13/$L$15),"-")</f>
        <v>-</v>
      </c>
      <c r="M38" s="122" t="str">
        <f>IFERROR((M13/$M$15),"-")</f>
        <v>-</v>
      </c>
      <c r="N38" s="122" t="str">
        <f>IFERROR((N13/$N$15),"-")</f>
        <v>-</v>
      </c>
      <c r="O38" s="123">
        <f t="shared" si="6"/>
        <v>6.8379469620099775E-2</v>
      </c>
    </row>
    <row r="39" spans="1:15">
      <c r="A39" s="627"/>
      <c r="B39" s="111" t="s">
        <v>76</v>
      </c>
      <c r="C39" s="122">
        <f>IFERROR((C14/$C$15),"-")</f>
        <v>6.6189067123501016E-3</v>
      </c>
      <c r="D39" s="122">
        <f>IFERROR((D14/$D$15),"-")</f>
        <v>7.2103431128791645E-3</v>
      </c>
      <c r="E39" s="122">
        <f>IFERROR((E14/$E$15),"-")</f>
        <v>7.363534496558348E-3</v>
      </c>
      <c r="F39" s="122">
        <f>IFERROR((F14/$F$15),"-")</f>
        <v>1.0301692420897719E-2</v>
      </c>
      <c r="G39" s="122">
        <f>IFERROR((G14/$G$15),"-")</f>
        <v>8.1471988282680336E-3</v>
      </c>
      <c r="H39" s="122" t="str">
        <f>IFERROR((H14/$H$15),"-")</f>
        <v>-</v>
      </c>
      <c r="I39" s="122" t="str">
        <f>IFERROR((I14/$I$15),"-")</f>
        <v>-</v>
      </c>
      <c r="J39" s="122" t="str">
        <f>IFERROR((J14/$J$15),"-")</f>
        <v>-</v>
      </c>
      <c r="K39" s="122" t="str">
        <f>IFERROR((K14/$K$15),"-")</f>
        <v>-</v>
      </c>
      <c r="L39" s="122" t="str">
        <f>IFERROR((L14/$L$15),"-")</f>
        <v>-</v>
      </c>
      <c r="M39" s="122" t="str">
        <f>IFERROR((M14/$M$15),"-")</f>
        <v>-</v>
      </c>
      <c r="N39" s="122" t="str">
        <f>IFERROR((N14/$N$15),"-")</f>
        <v>-</v>
      </c>
      <c r="O39" s="123">
        <f t="shared" si="6"/>
        <v>7.9283351141906724E-3</v>
      </c>
    </row>
    <row r="40" spans="1:15">
      <c r="A40" s="627"/>
      <c r="B40" s="124" t="s">
        <v>37</v>
      </c>
      <c r="C40" s="125">
        <f>SUM(C36:C39)</f>
        <v>1</v>
      </c>
      <c r="D40" s="125">
        <f>SUM(D36:D39)</f>
        <v>1</v>
      </c>
      <c r="E40" s="125">
        <f t="shared" ref="E40:O40" si="8">SUM(E36:E39)</f>
        <v>1</v>
      </c>
      <c r="F40" s="125">
        <f t="shared" si="8"/>
        <v>1</v>
      </c>
      <c r="G40" s="125">
        <f t="shared" si="8"/>
        <v>1</v>
      </c>
      <c r="H40" s="125">
        <f t="shared" si="8"/>
        <v>0</v>
      </c>
      <c r="I40" s="125">
        <f t="shared" si="8"/>
        <v>0</v>
      </c>
      <c r="J40" s="125">
        <f t="shared" si="8"/>
        <v>0</v>
      </c>
      <c r="K40" s="125">
        <f t="shared" si="8"/>
        <v>0</v>
      </c>
      <c r="L40" s="125">
        <f t="shared" si="8"/>
        <v>0</v>
      </c>
      <c r="M40" s="125">
        <f t="shared" si="8"/>
        <v>0</v>
      </c>
      <c r="N40" s="125">
        <f t="shared" si="8"/>
        <v>0</v>
      </c>
      <c r="O40" s="125">
        <f t="shared" si="8"/>
        <v>1</v>
      </c>
    </row>
    <row r="41" spans="1:15">
      <c r="A41" s="627" t="s">
        <v>20</v>
      </c>
      <c r="B41" s="111" t="s">
        <v>73</v>
      </c>
      <c r="C41" s="122">
        <f>IFERROR(C16/$C$20,"-")</f>
        <v>0.62778708596468613</v>
      </c>
      <c r="D41" s="122">
        <f>IFERROR(D16/$D$20,"-")</f>
        <v>0.73951336020301539</v>
      </c>
      <c r="E41" s="122">
        <f>IFERROR(E16/$E$20,"-")</f>
        <v>0.73385698255636034</v>
      </c>
      <c r="F41" s="122">
        <f>IFERROR(F16/$F$20,"-")</f>
        <v>0.74709271870089056</v>
      </c>
      <c r="G41" s="122">
        <f>IFERROR((G16/$G$20),"-")</f>
        <v>0.70727998479376541</v>
      </c>
      <c r="H41" s="122" t="str">
        <f>IFERROR((H16/H20),"-")</f>
        <v>-</v>
      </c>
      <c r="I41" s="122" t="str">
        <f>IFERROR((I16/I20),"-")</f>
        <v>-</v>
      </c>
      <c r="J41" s="122" t="str">
        <f>IFERROR((J16/$J$20),"-")</f>
        <v>-</v>
      </c>
      <c r="K41" s="122" t="str">
        <f>IFERROR((K16/$K$20),"-")</f>
        <v>-</v>
      </c>
      <c r="L41" s="122" t="str">
        <f>IFERROR((L16/$L$20),"-")</f>
        <v>-</v>
      </c>
      <c r="M41" s="122" t="str">
        <f>IFERROR((M16/$M$20),"-")</f>
        <v>-</v>
      </c>
      <c r="N41" s="122" t="str">
        <f>IFERROR((N16/$N$20),"-")</f>
        <v>-</v>
      </c>
      <c r="O41" s="123">
        <f t="shared" si="6"/>
        <v>0.71110602644374366</v>
      </c>
    </row>
    <row r="42" spans="1:15">
      <c r="A42" s="627"/>
      <c r="B42" s="111" t="s">
        <v>74</v>
      </c>
      <c r="C42" s="122">
        <f>IFERROR(C17/$C$20,"-")</f>
        <v>0.297332130429179</v>
      </c>
      <c r="D42" s="122">
        <f>IFERROR(D17/$D$20,"-")</f>
        <v>0.18749067024929095</v>
      </c>
      <c r="E42" s="122">
        <f>IFERROR(E17/$E$20,"-")</f>
        <v>0.20524329286952975</v>
      </c>
      <c r="F42" s="122">
        <f>IFERROR(F17/$F$20,"-")</f>
        <v>0.19455212152959664</v>
      </c>
      <c r="G42" s="122">
        <f>IFERROR((G17/$G$20),"-")</f>
        <v>0.21782931001710701</v>
      </c>
      <c r="H42" s="122" t="str">
        <f>IFERROR((H17/H20),"-")</f>
        <v>-</v>
      </c>
      <c r="I42" s="122" t="str">
        <f>IFERROR((I17/I20),"-")</f>
        <v>-</v>
      </c>
      <c r="J42" s="122" t="str">
        <f>IFERROR((J17/$J$20),"-")</f>
        <v>-</v>
      </c>
      <c r="K42" s="122" t="str">
        <f>IFERROR((K17/$K$20),"-")</f>
        <v>-</v>
      </c>
      <c r="L42" s="122" t="str">
        <f>IFERROR((L17/$L$20),"-")</f>
        <v>-</v>
      </c>
      <c r="M42" s="122" t="str">
        <f>IFERROR((M17/$M$20),"-")</f>
        <v>-</v>
      </c>
      <c r="N42" s="122" t="str">
        <f>IFERROR((N17/$N$20),"-")</f>
        <v>-</v>
      </c>
      <c r="O42" s="123">
        <f t="shared" si="6"/>
        <v>0.22048950501894066</v>
      </c>
    </row>
    <row r="43" spans="1:15">
      <c r="A43" s="627"/>
      <c r="B43" s="111" t="s">
        <v>75</v>
      </c>
      <c r="C43" s="122">
        <f>IFERROR(C18/$C$20,"-")</f>
        <v>6.9854362675602522E-2</v>
      </c>
      <c r="D43" s="122">
        <f>IFERROR(D18/$D$20,"-")</f>
        <v>6.5979997014479777E-2</v>
      </c>
      <c r="E43" s="122">
        <f>IFERROR(E18/$E$20,"-")</f>
        <v>5.2942976639804143E-2</v>
      </c>
      <c r="F43" s="122">
        <f>IFERROR(F18/$F$20,"-")</f>
        <v>5.3640649554740703E-2</v>
      </c>
      <c r="G43" s="122">
        <f>IFERROR((G18/$G$20),"-")</f>
        <v>7.0804029652157388E-2</v>
      </c>
      <c r="H43" s="122" t="str">
        <f>IFERROR((H18/H20),"-")</f>
        <v>-</v>
      </c>
      <c r="I43" s="122" t="str">
        <f>IFERROR((I18/I20),"-")</f>
        <v>-</v>
      </c>
      <c r="J43" s="122" t="str">
        <f>IFERROR((J18/$J$20),"-")</f>
        <v>-</v>
      </c>
      <c r="K43" s="122" t="str">
        <f>IFERROR((K18/$K$20),"-")</f>
        <v>-</v>
      </c>
      <c r="L43" s="122" t="str">
        <f>IFERROR((L18/$L$20),"-")</f>
        <v>-</v>
      </c>
      <c r="M43" s="122" t="str">
        <f>IFERROR((M18/$M$20),"-")</f>
        <v>-</v>
      </c>
      <c r="N43" s="122" t="str">
        <f>IFERROR((N18/$N$20),"-")</f>
        <v>-</v>
      </c>
      <c r="O43" s="123">
        <f t="shared" si="6"/>
        <v>6.2644403107356902E-2</v>
      </c>
    </row>
    <row r="44" spans="1:15">
      <c r="A44" s="627"/>
      <c r="B44" s="111" t="s">
        <v>76</v>
      </c>
      <c r="C44" s="122">
        <f>IFERROR(C19/$C$20,"-")</f>
        <v>5.0264209305322851E-3</v>
      </c>
      <c r="D44" s="122">
        <f>IFERROR(D19/$D$20,"-")</f>
        <v>7.0159725332139128E-3</v>
      </c>
      <c r="E44" s="122">
        <f>IFERROR(E19/$E$20,"-")</f>
        <v>7.9567479343058255E-3</v>
      </c>
      <c r="F44" s="122">
        <f>IFERROR(F19/$F$20,"-")</f>
        <v>4.7145102147721323E-3</v>
      </c>
      <c r="G44" s="122">
        <f>IFERROR((G19/$G$20),"-")</f>
        <v>4.0866755369701581E-3</v>
      </c>
      <c r="H44" s="122" t="str">
        <f>IFERROR((H19/H23),"-")</f>
        <v>-</v>
      </c>
      <c r="I44" s="122" t="str">
        <f>IFERROR((I19/I23),"-")</f>
        <v>-</v>
      </c>
      <c r="J44" s="122" t="str">
        <f>IFERROR((J19/$J$20),"-")</f>
        <v>-</v>
      </c>
      <c r="K44" s="122" t="str">
        <f>IFERROR((K19/$K$20),"-")</f>
        <v>-</v>
      </c>
      <c r="L44" s="122" t="str">
        <f>IFERROR((L19/$L$20),"-")</f>
        <v>-</v>
      </c>
      <c r="M44" s="122" t="str">
        <f>IFERROR((M19/$M$20),"-")</f>
        <v>-</v>
      </c>
      <c r="N44" s="122" t="str">
        <f>IFERROR((N19/$N$20),"-")</f>
        <v>-</v>
      </c>
      <c r="O44" s="123">
        <f t="shared" si="6"/>
        <v>5.7600654299588628E-3</v>
      </c>
    </row>
    <row r="45" spans="1:15" ht="14.3" thickBot="1">
      <c r="A45" s="628"/>
      <c r="B45" s="126" t="s">
        <v>37</v>
      </c>
      <c r="C45" s="182">
        <f>SUM(C41:C44)</f>
        <v>0.99999999999999989</v>
      </c>
      <c r="D45" s="182">
        <f>SUM(D41:D44)</f>
        <v>1</v>
      </c>
      <c r="E45" s="182">
        <f>SUM(E41:E44)</f>
        <v>1.0000000000000002</v>
      </c>
      <c r="F45" s="182">
        <f>SUM(F41:F44)</f>
        <v>1</v>
      </c>
      <c r="G45" s="182">
        <f t="shared" ref="G45:O45" si="9">SUM(G41:G44)</f>
        <v>1</v>
      </c>
      <c r="H45" s="182">
        <f t="shared" si="9"/>
        <v>0</v>
      </c>
      <c r="I45" s="182">
        <f t="shared" si="9"/>
        <v>0</v>
      </c>
      <c r="J45" s="182">
        <f t="shared" si="9"/>
        <v>0</v>
      </c>
      <c r="K45" s="182">
        <f t="shared" si="9"/>
        <v>0</v>
      </c>
      <c r="L45" s="182">
        <f t="shared" si="9"/>
        <v>0</v>
      </c>
      <c r="M45" s="182">
        <f t="shared" si="9"/>
        <v>0</v>
      </c>
      <c r="N45" s="182">
        <f t="shared" si="9"/>
        <v>0</v>
      </c>
      <c r="O45" s="182">
        <f t="shared" si="9"/>
        <v>1</v>
      </c>
    </row>
    <row r="46" spans="1:15" ht="22.6" customHeight="1"/>
    <row r="49" spans="1:16">
      <c r="A49" s="627" t="s">
        <v>1</v>
      </c>
      <c r="B49" s="127"/>
      <c r="C49" s="113" t="s">
        <v>4</v>
      </c>
      <c r="D49" s="113" t="s">
        <v>5</v>
      </c>
      <c r="E49" s="113" t="s">
        <v>6</v>
      </c>
      <c r="F49" s="113" t="s">
        <v>7</v>
      </c>
      <c r="G49" s="113" t="s">
        <v>8</v>
      </c>
      <c r="H49" s="113" t="s">
        <v>9</v>
      </c>
      <c r="I49" s="113" t="s">
        <v>10</v>
      </c>
      <c r="J49" s="113" t="s">
        <v>11</v>
      </c>
      <c r="K49" s="113" t="s">
        <v>12</v>
      </c>
      <c r="L49" s="113" t="s">
        <v>13</v>
      </c>
      <c r="M49" s="113" t="s">
        <v>14</v>
      </c>
      <c r="N49" s="113" t="s">
        <v>15</v>
      </c>
      <c r="O49" s="128" t="s">
        <v>17</v>
      </c>
      <c r="P49" s="119"/>
    </row>
    <row r="50" spans="1:16">
      <c r="A50" s="627"/>
      <c r="B50" s="111" t="s">
        <v>41</v>
      </c>
      <c r="C50" s="122">
        <f>IFERROR((C23/$C$27),"-")</f>
        <v>0.82956569393067547</v>
      </c>
      <c r="D50" s="122">
        <f>IFERROR((D23/$D$27),"-")</f>
        <v>0.8455849118625961</v>
      </c>
      <c r="E50" s="122">
        <f>IFERROR((E23/$E$27),"-")</f>
        <v>0.83494911784187387</v>
      </c>
      <c r="F50" s="122">
        <f>IFERROR((F23/$F$27),"-")</f>
        <v>0.84303866072503919</v>
      </c>
      <c r="G50" s="122">
        <f>IFERROR((G23/$G$27),"-")</f>
        <v>0.83192075431719459</v>
      </c>
      <c r="H50" s="122" t="str">
        <f>IFERROR((H23/$H$27),"-")</f>
        <v>-</v>
      </c>
      <c r="I50" s="122" t="str">
        <f>IFERROR((I23/$I$27),"-")</f>
        <v>-</v>
      </c>
      <c r="J50" s="122" t="str">
        <f>IFERROR((J23/$J$27),"-")</f>
        <v>-</v>
      </c>
      <c r="K50" s="122" t="str">
        <f>IFERROR((K23/$K$27),"-")</f>
        <v>-</v>
      </c>
      <c r="L50" s="122" t="str">
        <f>IFERROR((L23/$L$27),"-")</f>
        <v>-</v>
      </c>
      <c r="M50" s="122" t="str">
        <f>IFERROR((M23/$M$27),"-")</f>
        <v>-</v>
      </c>
      <c r="N50" s="122" t="str">
        <f>IFERROR((N23/$N$27),"-")</f>
        <v>-</v>
      </c>
      <c r="O50" s="123">
        <f>IFERROR(AVERAGE(C50:N50),"-")</f>
        <v>0.83701182773547578</v>
      </c>
      <c r="P50" s="129"/>
    </row>
    <row r="51" spans="1:16">
      <c r="A51" s="627"/>
      <c r="B51" s="111" t="s">
        <v>67</v>
      </c>
      <c r="C51" s="122">
        <f>IFERROR((C24/$C$27),"-")</f>
        <v>0.10763118235374709</v>
      </c>
      <c r="D51" s="122">
        <f>IFERROR((D24/$D$27),"-")</f>
        <v>9.6971689197518182E-2</v>
      </c>
      <c r="E51" s="122">
        <f>IFERROR((E24/$E$27),"-")</f>
        <v>0.10998374179562835</v>
      </c>
      <c r="F51" s="122">
        <f>IFERROR((F24/$F$27),"-")</f>
        <v>0.10231241719860291</v>
      </c>
      <c r="G51" s="122">
        <f>IFERROR((G24/$G$27),"-")</f>
        <v>0.10676448776353427</v>
      </c>
      <c r="H51" s="122" t="str">
        <f>IFERROR((H24/$H$27),"-")</f>
        <v>-</v>
      </c>
      <c r="I51" s="122" t="str">
        <f>IFERROR((I24/$I$27),"-")</f>
        <v>-</v>
      </c>
      <c r="J51" s="122" t="str">
        <f>IFERROR((J24/$J$27),"-")</f>
        <v>-</v>
      </c>
      <c r="K51" s="122" t="str">
        <f>IFERROR((K24/$K$27),"-")</f>
        <v>-</v>
      </c>
      <c r="L51" s="122" t="str">
        <f>IFERROR((L24/$L$27),"-")</f>
        <v>-</v>
      </c>
      <c r="M51" s="122" t="str">
        <f>IFERROR((M24/$M$27),"-")</f>
        <v>-</v>
      </c>
      <c r="N51" s="122" t="str">
        <f>IFERROR((N24/$N$27),"-")</f>
        <v>-</v>
      </c>
      <c r="O51" s="123">
        <f>IFERROR(AVERAGE(C51:N51),"-")</f>
        <v>0.10473270366180616</v>
      </c>
      <c r="P51" s="129"/>
    </row>
    <row r="52" spans="1:16">
      <c r="A52" s="627"/>
      <c r="B52" s="111" t="s">
        <v>42</v>
      </c>
      <c r="C52" s="122">
        <f>IFERROR((C25/$C$27),"-")</f>
        <v>5.7295519934237565E-2</v>
      </c>
      <c r="D52" s="122">
        <f>IFERROR((D25/$D$27),"-")</f>
        <v>5.1362123515634628E-2</v>
      </c>
      <c r="E52" s="122">
        <f>IFERROR((E25/$E$27),"-")</f>
        <v>4.9045583187812367E-2</v>
      </c>
      <c r="F52" s="122">
        <f>IFERROR((F25/$F$27),"-")</f>
        <v>4.8416235095748522E-2</v>
      </c>
      <c r="G52" s="122">
        <f>IFERROR((G25/$G$27),"-")</f>
        <v>5.5964614895645727E-2</v>
      </c>
      <c r="H52" s="122" t="str">
        <f>IFERROR((H25/$H$27),"-")</f>
        <v>-</v>
      </c>
      <c r="I52" s="122" t="str">
        <f>IFERROR((I25/$I$27),"-")</f>
        <v>-</v>
      </c>
      <c r="J52" s="122" t="str">
        <f>IFERROR((J25/$J$27),"-")</f>
        <v>-</v>
      </c>
      <c r="K52" s="122" t="str">
        <f>IFERROR((K25/$K$27),"-")</f>
        <v>-</v>
      </c>
      <c r="L52" s="122" t="str">
        <f>IFERROR((L25/$L$27),"-")</f>
        <v>-</v>
      </c>
      <c r="M52" s="122" t="str">
        <f>IFERROR((M25/$M$27),"-")</f>
        <v>-</v>
      </c>
      <c r="N52" s="122" t="str">
        <f>IFERROR((N25/$N$27),"-")</f>
        <v>-</v>
      </c>
      <c r="O52" s="123">
        <f>IFERROR(AVERAGE(C52:N52),"-")</f>
        <v>5.2416815325815755E-2</v>
      </c>
      <c r="P52" s="129"/>
    </row>
    <row r="53" spans="1:16">
      <c r="A53" s="627"/>
      <c r="B53" s="111" t="s">
        <v>43</v>
      </c>
      <c r="C53" s="122">
        <f>IFERROR((C26/$C$27),"-")</f>
        <v>5.5076037813399092E-3</v>
      </c>
      <c r="D53" s="122">
        <f>IFERROR((D26/$D$27),"-")</f>
        <v>6.08127542425114E-3</v>
      </c>
      <c r="E53" s="122">
        <f>IFERROR((E26/$E$27),"-")</f>
        <v>6.0215571746853732E-3</v>
      </c>
      <c r="F53" s="122">
        <f>IFERROR((F26/$F$27),"-")</f>
        <v>6.2326869806094186E-3</v>
      </c>
      <c r="G53" s="122">
        <f>IFERROR((G26/$G$27),"-")</f>
        <v>5.3501430236253837E-3</v>
      </c>
      <c r="H53" s="122" t="str">
        <f>IFERROR((H26/$H$27),"-")</f>
        <v>-</v>
      </c>
      <c r="I53" s="122" t="str">
        <f>IFERROR((I26/$I$27),"-")</f>
        <v>-</v>
      </c>
      <c r="J53" s="122" t="str">
        <f>IFERROR((J26/$J$27),"-")</f>
        <v>-</v>
      </c>
      <c r="K53" s="122" t="str">
        <f>IFERROR((K26/$K$27),"-")</f>
        <v>-</v>
      </c>
      <c r="L53" s="122" t="str">
        <f>IFERROR((L26/$L$27),"-")</f>
        <v>-</v>
      </c>
      <c r="M53" s="122" t="str">
        <f>IFERROR((M26/$M$27),"-")</f>
        <v>-</v>
      </c>
      <c r="N53" s="122" t="str">
        <f>IFERROR((N26/$N$27),"-")</f>
        <v>-</v>
      </c>
      <c r="O53" s="123">
        <f>IFERROR(AVERAGE(C53:N53),"-")</f>
        <v>5.8386532769022451E-3</v>
      </c>
      <c r="P53" s="129"/>
    </row>
    <row r="54" spans="1:16">
      <c r="A54" s="627"/>
      <c r="B54" s="113" t="s">
        <v>37</v>
      </c>
      <c r="C54" s="125">
        <f t="shared" ref="C54:N54" si="10">SUM(C50:C53)</f>
        <v>1</v>
      </c>
      <c r="D54" s="125">
        <f t="shared" si="10"/>
        <v>1</v>
      </c>
      <c r="E54" s="125">
        <f t="shared" si="10"/>
        <v>0.99999999999999989</v>
      </c>
      <c r="F54" s="125">
        <f t="shared" si="10"/>
        <v>1.0000000000000002</v>
      </c>
      <c r="G54" s="125">
        <f t="shared" si="10"/>
        <v>1</v>
      </c>
      <c r="H54" s="125">
        <f t="shared" si="10"/>
        <v>0</v>
      </c>
      <c r="I54" s="125">
        <f t="shared" si="10"/>
        <v>0</v>
      </c>
      <c r="J54" s="125">
        <f t="shared" si="10"/>
        <v>0</v>
      </c>
      <c r="K54" s="125">
        <f t="shared" si="10"/>
        <v>0</v>
      </c>
      <c r="L54" s="125">
        <f t="shared" si="10"/>
        <v>0</v>
      </c>
      <c r="M54" s="125">
        <f t="shared" si="10"/>
        <v>0</v>
      </c>
      <c r="N54" s="125">
        <f t="shared" si="10"/>
        <v>0</v>
      </c>
      <c r="O54" s="130">
        <f>SUM(O50:O53)</f>
        <v>1</v>
      </c>
      <c r="P54" s="120"/>
    </row>
  </sheetData>
  <customSheetViews>
    <customSheetView guid="{735276B6-8B53-4447-B7C2-CBEDAEBC1390}" showPageBreaks="1" showGridLines="0" printArea="1" view="pageBreakPreview">
      <selection activeCell="M57" sqref="M57"/>
      <rowBreaks count="1" manualBreakCount="1">
        <brk id="48" max="15" man="1"/>
      </rowBreaks>
      <pageMargins left="0.39370078740157483" right="0.39370078740157483" top="0.59055118110236227" bottom="0" header="0.19685039370078741" footer="0.31496062992125984"/>
      <printOptions horizontalCentered="1"/>
      <pageSetup paperSize="9" scale="72" orientation="landscape" r:id="rId1"/>
      <headerFooter differentFirst="1">
        <oddHeader>&amp;L&amp;G&amp;CProntos Socorros de Taboão da SerraSPDM - Associação Paulista para o Desenvolvimento da Medicina &amp;R&amp;G</oddHeader>
        <oddFooter>&amp;R5.1</oddFooter>
        <firstHeader>&amp;L&amp;G&amp;CProntos Socorros Municipais de Taboão da SerraSPDM - Associação Paulista para o Desenvolvimento da Medicina&amp;R&amp;G</firstHeader>
        <firstFooter>&amp;R5</firstFooter>
      </headerFooter>
    </customSheetView>
  </customSheetViews>
  <mergeCells count="11">
    <mergeCell ref="A3:P3"/>
    <mergeCell ref="B29:O29"/>
    <mergeCell ref="A22:A27"/>
    <mergeCell ref="A5:A10"/>
    <mergeCell ref="A11:A15"/>
    <mergeCell ref="A4:O4"/>
    <mergeCell ref="A49:A54"/>
    <mergeCell ref="A36:A40"/>
    <mergeCell ref="A41:A45"/>
    <mergeCell ref="A29:A35"/>
    <mergeCell ref="A16:A20"/>
  </mergeCells>
  <printOptions horizontalCentered="1" verticalCentered="1"/>
  <pageMargins left="0" right="0" top="0.59055118110236227" bottom="0" header="0.19685039370078741" footer="0.31496062992125984"/>
  <pageSetup paperSize="9" scale="84" orientation="landscape" r:id="rId2"/>
  <headerFooter differentFirst="1">
    <oddHeader>&amp;L&amp;G&amp;C&amp;"-,Negrito"Prontos Socorros Municipais de Taboão da Serra 
SPDM - Associação Paulista para o Desenvolvimento da Medicina&amp;R&amp;G</oddHeader>
    <oddFooter>&amp;R7</oddFooter>
    <firstHeader>&amp;L&amp;G&amp;C&amp;"-,Negrito"Prontos Socorros Municipais de Taboão da Serra 
SPDM - Associação Paulista para o Desenvolvimento da Medicina&amp;R&amp;G</firstHeader>
    <firstFooter>&amp;R6</firstFooter>
  </headerFooter>
  <rowBreaks count="1" manualBreakCount="1">
    <brk id="46" max="15" man="1"/>
  </rowBreaks>
  <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  <pageSetUpPr fitToPage="1"/>
  </sheetPr>
  <dimension ref="A1:P28"/>
  <sheetViews>
    <sheetView showGridLines="0" view="pageBreakPreview" zoomScaleNormal="100" zoomScaleSheetLayoutView="100" workbookViewId="0">
      <selection activeCell="T17" sqref="T17"/>
    </sheetView>
  </sheetViews>
  <sheetFormatPr defaultColWidth="9.125" defaultRowHeight="11.55"/>
  <cols>
    <col min="1" max="1" width="10.375" style="65" bestFit="1" customWidth="1"/>
    <col min="2" max="14" width="9.375" style="65" customWidth="1"/>
    <col min="15" max="15" width="9.375" style="81" customWidth="1"/>
    <col min="16" max="16384" width="9.125" style="65"/>
  </cols>
  <sheetData>
    <row r="1" spans="1:16" ht="19.55" customHeight="1">
      <c r="A1" s="653" t="s">
        <v>204</v>
      </c>
      <c r="B1" s="654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6"/>
    </row>
    <row r="2" spans="1:16" ht="15.8" customHeight="1">
      <c r="O2" s="65"/>
      <c r="P2" s="81"/>
    </row>
    <row r="3" spans="1:16">
      <c r="A3" s="657" t="s">
        <v>3</v>
      </c>
      <c r="B3" s="658"/>
      <c r="C3" s="659" t="s">
        <v>186</v>
      </c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82">
        <v>2022</v>
      </c>
    </row>
    <row r="4" spans="1:16">
      <c r="A4" s="642"/>
      <c r="B4" s="643"/>
      <c r="C4" s="355" t="s">
        <v>30</v>
      </c>
      <c r="D4" s="355" t="s">
        <v>31</v>
      </c>
      <c r="E4" s="355" t="s">
        <v>2</v>
      </c>
      <c r="F4" s="355" t="s">
        <v>32</v>
      </c>
      <c r="G4" s="355" t="s">
        <v>33</v>
      </c>
      <c r="H4" s="355" t="s">
        <v>54</v>
      </c>
      <c r="I4" s="355" t="s">
        <v>55</v>
      </c>
      <c r="J4" s="355" t="s">
        <v>56</v>
      </c>
      <c r="K4" s="355" t="s">
        <v>57</v>
      </c>
      <c r="L4" s="355" t="s">
        <v>58</v>
      </c>
      <c r="M4" s="355" t="s">
        <v>59</v>
      </c>
      <c r="N4" s="355" t="s">
        <v>60</v>
      </c>
      <c r="O4" s="355" t="s">
        <v>16</v>
      </c>
      <c r="P4" s="83" t="s">
        <v>17</v>
      </c>
    </row>
    <row r="5" spans="1:16">
      <c r="A5" s="645" t="s">
        <v>18</v>
      </c>
      <c r="B5" s="646"/>
      <c r="C5" s="321">
        <v>232</v>
      </c>
      <c r="D5" s="321">
        <v>209</v>
      </c>
      <c r="E5" s="321">
        <v>212</v>
      </c>
      <c r="F5" s="321">
        <v>223</v>
      </c>
      <c r="G5" s="321">
        <v>215</v>
      </c>
      <c r="H5" s="321">
        <v>0</v>
      </c>
      <c r="I5" s="321">
        <v>0</v>
      </c>
      <c r="J5" s="321">
        <v>0</v>
      </c>
      <c r="K5" s="321">
        <v>0</v>
      </c>
      <c r="L5" s="321">
        <v>0</v>
      </c>
      <c r="M5" s="321">
        <v>0</v>
      </c>
      <c r="N5" s="321">
        <v>0</v>
      </c>
      <c r="O5" s="84">
        <f>SUM(C5:N5)</f>
        <v>1091</v>
      </c>
      <c r="P5" s="85">
        <f>IFERROR(AVERAGE(C5:N5),"-")</f>
        <v>90.916666666666671</v>
      </c>
    </row>
    <row r="6" spans="1:16">
      <c r="A6" s="645" t="s">
        <v>212</v>
      </c>
      <c r="B6" s="646"/>
      <c r="C6" s="321">
        <v>128</v>
      </c>
      <c r="D6" s="321">
        <v>104</v>
      </c>
      <c r="E6" s="321">
        <v>164</v>
      </c>
      <c r="F6" s="321">
        <v>119</v>
      </c>
      <c r="G6" s="321">
        <v>134</v>
      </c>
      <c r="H6" s="321">
        <v>0</v>
      </c>
      <c r="I6" s="321">
        <v>0</v>
      </c>
      <c r="J6" s="321">
        <v>0</v>
      </c>
      <c r="K6" s="321">
        <v>0</v>
      </c>
      <c r="L6" s="321">
        <v>0</v>
      </c>
      <c r="M6" s="321">
        <v>0</v>
      </c>
      <c r="N6" s="321">
        <v>0</v>
      </c>
      <c r="O6" s="84">
        <f>SUM(C6:N6)</f>
        <v>649</v>
      </c>
      <c r="P6" s="85">
        <f>IFERROR(AVERAGE(C6:N6),"-")</f>
        <v>54.083333333333336</v>
      </c>
    </row>
    <row r="7" spans="1:16" ht="12.25" thickBot="1">
      <c r="A7" s="651" t="s">
        <v>20</v>
      </c>
      <c r="B7" s="652"/>
      <c r="C7" s="321">
        <v>92</v>
      </c>
      <c r="D7" s="321">
        <v>58</v>
      </c>
      <c r="E7" s="321">
        <v>63</v>
      </c>
      <c r="F7" s="321">
        <v>100</v>
      </c>
      <c r="G7" s="321">
        <v>150</v>
      </c>
      <c r="H7" s="321">
        <v>0</v>
      </c>
      <c r="I7" s="321">
        <v>0</v>
      </c>
      <c r="J7" s="321">
        <v>0</v>
      </c>
      <c r="K7" s="321">
        <v>0</v>
      </c>
      <c r="L7" s="321">
        <v>0</v>
      </c>
      <c r="M7" s="321">
        <v>0</v>
      </c>
      <c r="N7" s="321">
        <v>0</v>
      </c>
      <c r="O7" s="86">
        <f>SUM(C7:N7)</f>
        <v>463</v>
      </c>
      <c r="P7" s="87">
        <f>IFERROR(AVERAGE(C7:N7),"-")</f>
        <v>38.583333333333336</v>
      </c>
    </row>
    <row r="8" spans="1:16" ht="12.25" thickBot="1">
      <c r="O8" s="65"/>
      <c r="P8" s="81"/>
    </row>
    <row r="9" spans="1:16">
      <c r="A9" s="640" t="s">
        <v>3</v>
      </c>
      <c r="B9" s="641"/>
      <c r="C9" s="644" t="s">
        <v>191</v>
      </c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88">
        <f>P3</f>
        <v>2022</v>
      </c>
    </row>
    <row r="10" spans="1:16">
      <c r="A10" s="642"/>
      <c r="B10" s="643"/>
      <c r="C10" s="355" t="s">
        <v>30</v>
      </c>
      <c r="D10" s="355" t="s">
        <v>31</v>
      </c>
      <c r="E10" s="355" t="s">
        <v>2</v>
      </c>
      <c r="F10" s="355" t="s">
        <v>32</v>
      </c>
      <c r="G10" s="355" t="s">
        <v>33</v>
      </c>
      <c r="H10" s="355" t="s">
        <v>54</v>
      </c>
      <c r="I10" s="355" t="s">
        <v>55</v>
      </c>
      <c r="J10" s="355" t="s">
        <v>56</v>
      </c>
      <c r="K10" s="355" t="s">
        <v>57</v>
      </c>
      <c r="L10" s="355" t="s">
        <v>58</v>
      </c>
      <c r="M10" s="355" t="s">
        <v>59</v>
      </c>
      <c r="N10" s="355" t="s">
        <v>60</v>
      </c>
      <c r="O10" s="355" t="s">
        <v>16</v>
      </c>
      <c r="P10" s="83" t="s">
        <v>17</v>
      </c>
    </row>
    <row r="11" spans="1:16">
      <c r="A11" s="649" t="s">
        <v>18</v>
      </c>
      <c r="B11" s="646"/>
      <c r="C11" s="321">
        <v>19</v>
      </c>
      <c r="D11" s="321">
        <v>11</v>
      </c>
      <c r="E11" s="321">
        <v>12</v>
      </c>
      <c r="F11" s="321">
        <v>14</v>
      </c>
      <c r="G11" s="321">
        <v>13</v>
      </c>
      <c r="H11" s="321">
        <v>0</v>
      </c>
      <c r="I11" s="321">
        <v>0</v>
      </c>
      <c r="J11" s="321">
        <v>0</v>
      </c>
      <c r="K11" s="321">
        <v>0</v>
      </c>
      <c r="L11" s="321">
        <v>0</v>
      </c>
      <c r="M11" s="321">
        <v>0</v>
      </c>
      <c r="N11" s="321">
        <v>0</v>
      </c>
      <c r="O11" s="84">
        <f>SUM(C11:N11)</f>
        <v>69</v>
      </c>
      <c r="P11" s="85">
        <f>IFERROR(AVERAGE(C11:N11),"-")</f>
        <v>5.75</v>
      </c>
    </row>
    <row r="12" spans="1:16">
      <c r="A12" s="649" t="s">
        <v>19</v>
      </c>
      <c r="B12" s="646"/>
      <c r="C12" s="321">
        <v>17</v>
      </c>
      <c r="D12" s="321">
        <v>10</v>
      </c>
      <c r="E12" s="321">
        <v>7</v>
      </c>
      <c r="F12" s="321">
        <v>1</v>
      </c>
      <c r="G12" s="321">
        <v>5</v>
      </c>
      <c r="H12" s="321">
        <v>0</v>
      </c>
      <c r="I12" s="321">
        <v>0</v>
      </c>
      <c r="J12" s="321">
        <v>0</v>
      </c>
      <c r="K12" s="321">
        <v>0</v>
      </c>
      <c r="L12" s="321">
        <v>0</v>
      </c>
      <c r="M12" s="321">
        <v>0</v>
      </c>
      <c r="N12" s="321">
        <v>0</v>
      </c>
      <c r="O12" s="84">
        <f>SUM(C12:N12)</f>
        <v>40</v>
      </c>
      <c r="P12" s="85">
        <f>IFERROR(AVERAGE(C12:N12),"-")</f>
        <v>3.3333333333333335</v>
      </c>
    </row>
    <row r="13" spans="1:16">
      <c r="A13" s="649" t="s">
        <v>20</v>
      </c>
      <c r="B13" s="646"/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21">
        <v>0</v>
      </c>
      <c r="J13" s="321">
        <v>0</v>
      </c>
      <c r="K13" s="321">
        <v>0</v>
      </c>
      <c r="L13" s="321">
        <v>0</v>
      </c>
      <c r="M13" s="321">
        <v>0</v>
      </c>
      <c r="N13" s="321">
        <v>0</v>
      </c>
      <c r="O13" s="84">
        <f>SUM(C13:N13)</f>
        <v>0</v>
      </c>
      <c r="P13" s="85">
        <f>IFERROR(AVERAGE(C13:N13),"-")</f>
        <v>0</v>
      </c>
    </row>
    <row r="14" spans="1:16" ht="12.25" thickBot="1"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0"/>
    </row>
    <row r="15" spans="1:16" ht="14.95" customHeight="1">
      <c r="A15" s="640" t="s">
        <v>3</v>
      </c>
      <c r="B15" s="641"/>
      <c r="C15" s="644" t="s">
        <v>192</v>
      </c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88" t="str">
        <f>P10</f>
        <v>Média</v>
      </c>
    </row>
    <row r="16" spans="1:16" ht="14.95" customHeight="1">
      <c r="A16" s="642"/>
      <c r="B16" s="650"/>
      <c r="C16" s="355" t="s">
        <v>30</v>
      </c>
      <c r="D16" s="355" t="s">
        <v>31</v>
      </c>
      <c r="E16" s="355" t="s">
        <v>2</v>
      </c>
      <c r="F16" s="355" t="s">
        <v>32</v>
      </c>
      <c r="G16" s="355" t="s">
        <v>33</v>
      </c>
      <c r="H16" s="355" t="s">
        <v>54</v>
      </c>
      <c r="I16" s="355" t="s">
        <v>55</v>
      </c>
      <c r="J16" s="355" t="s">
        <v>56</v>
      </c>
      <c r="K16" s="355" t="s">
        <v>57</v>
      </c>
      <c r="L16" s="355" t="s">
        <v>58</v>
      </c>
      <c r="M16" s="355" t="s">
        <v>59</v>
      </c>
      <c r="N16" s="355" t="s">
        <v>60</v>
      </c>
      <c r="O16" s="355" t="s">
        <v>16</v>
      </c>
      <c r="P16" s="83" t="s">
        <v>17</v>
      </c>
    </row>
    <row r="17" spans="1:16" ht="14.95" customHeight="1">
      <c r="A17" s="636" t="s">
        <v>18</v>
      </c>
      <c r="B17" s="356" t="s">
        <v>206</v>
      </c>
      <c r="C17" s="357">
        <v>21</v>
      </c>
      <c r="D17" s="357">
        <v>12</v>
      </c>
      <c r="E17" s="357">
        <v>7</v>
      </c>
      <c r="F17" s="357">
        <v>4</v>
      </c>
      <c r="G17" s="357">
        <v>1</v>
      </c>
      <c r="H17" s="357">
        <v>0</v>
      </c>
      <c r="I17" s="357">
        <v>0</v>
      </c>
      <c r="J17" s="357">
        <v>0</v>
      </c>
      <c r="K17" s="357">
        <v>0</v>
      </c>
      <c r="L17" s="357">
        <v>0</v>
      </c>
      <c r="M17" s="357">
        <v>0</v>
      </c>
      <c r="N17" s="357">
        <v>0</v>
      </c>
      <c r="O17" s="84">
        <f t="shared" ref="O17:O22" si="0">SUM(C17:N17)</f>
        <v>45</v>
      </c>
      <c r="P17" s="85">
        <f t="shared" ref="P17:P22" si="1">IFERROR(AVERAGE(C17:N17),"-")</f>
        <v>3.75</v>
      </c>
    </row>
    <row r="18" spans="1:16" ht="14.95" customHeight="1">
      <c r="A18" s="637"/>
      <c r="B18" s="356" t="s">
        <v>207</v>
      </c>
      <c r="C18" s="357">
        <v>5</v>
      </c>
      <c r="D18" s="357">
        <v>3</v>
      </c>
      <c r="E18" s="357">
        <v>6</v>
      </c>
      <c r="F18" s="357">
        <v>8</v>
      </c>
      <c r="G18" s="357">
        <v>14</v>
      </c>
      <c r="H18" s="357">
        <v>0</v>
      </c>
      <c r="I18" s="357">
        <v>0</v>
      </c>
      <c r="J18" s="357">
        <v>0</v>
      </c>
      <c r="K18" s="357">
        <v>0</v>
      </c>
      <c r="L18" s="357">
        <v>0</v>
      </c>
      <c r="M18" s="357">
        <v>0</v>
      </c>
      <c r="N18" s="357">
        <v>0</v>
      </c>
      <c r="O18" s="84">
        <f t="shared" si="0"/>
        <v>36</v>
      </c>
      <c r="P18" s="85">
        <f t="shared" si="1"/>
        <v>3</v>
      </c>
    </row>
    <row r="19" spans="1:16" ht="14.95" customHeight="1">
      <c r="A19" s="638" t="s">
        <v>19</v>
      </c>
      <c r="B19" s="356" t="s">
        <v>206</v>
      </c>
      <c r="C19" s="357">
        <v>11</v>
      </c>
      <c r="D19" s="357">
        <v>8</v>
      </c>
      <c r="E19" s="357">
        <v>2</v>
      </c>
      <c r="F19" s="357">
        <v>7</v>
      </c>
      <c r="G19" s="357">
        <v>3</v>
      </c>
      <c r="H19" s="357">
        <v>0</v>
      </c>
      <c r="I19" s="357">
        <v>0</v>
      </c>
      <c r="J19" s="357">
        <v>0</v>
      </c>
      <c r="K19" s="357">
        <v>0</v>
      </c>
      <c r="L19" s="357">
        <v>0</v>
      </c>
      <c r="M19" s="357">
        <v>0</v>
      </c>
      <c r="N19" s="357">
        <v>0</v>
      </c>
      <c r="O19" s="84">
        <f t="shared" si="0"/>
        <v>31</v>
      </c>
      <c r="P19" s="85">
        <f t="shared" si="1"/>
        <v>2.5833333333333335</v>
      </c>
    </row>
    <row r="20" spans="1:16">
      <c r="A20" s="639"/>
      <c r="B20" s="356" t="s">
        <v>207</v>
      </c>
      <c r="C20" s="357">
        <v>0</v>
      </c>
      <c r="D20" s="357">
        <v>0</v>
      </c>
      <c r="E20" s="357">
        <v>0</v>
      </c>
      <c r="F20" s="357">
        <v>0</v>
      </c>
      <c r="G20" s="357">
        <v>0</v>
      </c>
      <c r="H20" s="357">
        <v>0</v>
      </c>
      <c r="I20" s="357">
        <v>0</v>
      </c>
      <c r="J20" s="357">
        <v>0</v>
      </c>
      <c r="K20" s="357">
        <v>0</v>
      </c>
      <c r="L20" s="357">
        <v>0</v>
      </c>
      <c r="M20" s="357">
        <v>0</v>
      </c>
      <c r="N20" s="357">
        <v>0</v>
      </c>
      <c r="O20" s="84">
        <f t="shared" si="0"/>
        <v>0</v>
      </c>
      <c r="P20" s="85">
        <f t="shared" si="1"/>
        <v>0</v>
      </c>
    </row>
    <row r="21" spans="1:16">
      <c r="A21" s="647" t="s">
        <v>20</v>
      </c>
      <c r="B21" s="356" t="s">
        <v>206</v>
      </c>
      <c r="C21" s="357">
        <v>0</v>
      </c>
      <c r="D21" s="357">
        <v>0</v>
      </c>
      <c r="E21" s="357">
        <v>0</v>
      </c>
      <c r="F21" s="357">
        <v>0</v>
      </c>
      <c r="G21" s="357">
        <v>0</v>
      </c>
      <c r="H21" s="357">
        <v>0</v>
      </c>
      <c r="I21" s="357">
        <v>0</v>
      </c>
      <c r="J21" s="357">
        <v>0</v>
      </c>
      <c r="K21" s="357">
        <v>0</v>
      </c>
      <c r="L21" s="357">
        <v>0</v>
      </c>
      <c r="M21" s="357">
        <v>0</v>
      </c>
      <c r="N21" s="357">
        <v>0</v>
      </c>
      <c r="O21" s="84">
        <f t="shared" si="0"/>
        <v>0</v>
      </c>
      <c r="P21" s="85">
        <f t="shared" si="1"/>
        <v>0</v>
      </c>
    </row>
    <row r="22" spans="1:16">
      <c r="A22" s="648"/>
      <c r="B22" s="356" t="s">
        <v>207</v>
      </c>
      <c r="C22" s="357">
        <v>0</v>
      </c>
      <c r="D22" s="357">
        <v>1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7">
        <v>0</v>
      </c>
      <c r="K22" s="357">
        <v>0</v>
      </c>
      <c r="L22" s="357">
        <v>0</v>
      </c>
      <c r="M22" s="357">
        <v>0</v>
      </c>
      <c r="N22" s="357">
        <v>0</v>
      </c>
      <c r="O22" s="84">
        <f t="shared" si="0"/>
        <v>1</v>
      </c>
      <c r="P22" s="85">
        <f t="shared" si="1"/>
        <v>8.3333333333333329E-2</v>
      </c>
    </row>
    <row r="23" spans="1:16" ht="12.25" thickBot="1">
      <c r="O23" s="65"/>
      <c r="P23" s="81"/>
    </row>
    <row r="24" spans="1:16">
      <c r="A24" s="640" t="s">
        <v>3</v>
      </c>
      <c r="B24" s="641"/>
      <c r="C24" s="644" t="s">
        <v>29</v>
      </c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88">
        <f>P3</f>
        <v>2022</v>
      </c>
    </row>
    <row r="25" spans="1:16">
      <c r="A25" s="642"/>
      <c r="B25" s="643"/>
      <c r="C25" s="355" t="s">
        <v>30</v>
      </c>
      <c r="D25" s="355" t="s">
        <v>31</v>
      </c>
      <c r="E25" s="355" t="s">
        <v>2</v>
      </c>
      <c r="F25" s="355" t="s">
        <v>32</v>
      </c>
      <c r="G25" s="355" t="s">
        <v>33</v>
      </c>
      <c r="H25" s="355" t="s">
        <v>54</v>
      </c>
      <c r="I25" s="355" t="s">
        <v>55</v>
      </c>
      <c r="J25" s="355" t="s">
        <v>56</v>
      </c>
      <c r="K25" s="355" t="s">
        <v>57</v>
      </c>
      <c r="L25" s="355" t="s">
        <v>58</v>
      </c>
      <c r="M25" s="355" t="s">
        <v>59</v>
      </c>
      <c r="N25" s="355" t="s">
        <v>60</v>
      </c>
      <c r="O25" s="355" t="s">
        <v>16</v>
      </c>
      <c r="P25" s="83" t="s">
        <v>17</v>
      </c>
    </row>
    <row r="26" spans="1:16">
      <c r="A26" s="645" t="s">
        <v>18</v>
      </c>
      <c r="B26" s="646"/>
      <c r="C26" s="321">
        <v>0</v>
      </c>
      <c r="D26" s="321">
        <v>0</v>
      </c>
      <c r="E26" s="321">
        <v>1</v>
      </c>
      <c r="F26" s="321">
        <v>1</v>
      </c>
      <c r="G26" s="321">
        <v>0</v>
      </c>
      <c r="H26" s="321">
        <v>0</v>
      </c>
      <c r="I26" s="321">
        <v>0</v>
      </c>
      <c r="J26" s="321">
        <v>0</v>
      </c>
      <c r="K26" s="321">
        <v>0</v>
      </c>
      <c r="L26" s="321">
        <v>0</v>
      </c>
      <c r="M26" s="321">
        <v>0</v>
      </c>
      <c r="N26" s="321">
        <v>0</v>
      </c>
      <c r="O26" s="84">
        <f>SUM(C26:N26)</f>
        <v>2</v>
      </c>
      <c r="P26" s="85">
        <f>IFERROR(AVERAGE(C26:N26),"-")</f>
        <v>0.16666666666666666</v>
      </c>
    </row>
    <row r="27" spans="1:16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0"/>
    </row>
    <row r="28" spans="1:16" ht="12.25" thickBot="1">
      <c r="A28" s="36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</sheetData>
  <customSheetViews>
    <customSheetView guid="{735276B6-8B53-4447-B7C2-CBEDAEBC1390}" showPageBreaks="1" showGridLines="0" printArea="1" view="pageBreakPreview">
      <selection activeCell="H28" sqref="H28"/>
      <pageMargins left="0.39370078740157483" right="0.39370078740157483" top="0.9055118110236221" bottom="0" header="0.31496062992125984" footer="0.31496062992125984"/>
      <printOptions horizontalCentered="1"/>
      <pageSetup paperSize="9" scale="91" orientation="landscape" r:id="rId1"/>
      <headerFooter>
        <oddHeader>&amp;L&amp;G&amp;CProntos Socorros Municipais de Taboão da SerraSPDM - Associação Paulista para o Desenvolvimento da Medicina&amp;R&amp;G</oddHeader>
        <oddFooter>&amp;R8</oddFooter>
      </headerFooter>
    </customSheetView>
  </customSheetViews>
  <mergeCells count="19">
    <mergeCell ref="A7:B7"/>
    <mergeCell ref="A9:B10"/>
    <mergeCell ref="A1:P1"/>
    <mergeCell ref="A3:B4"/>
    <mergeCell ref="C3:O3"/>
    <mergeCell ref="A5:B5"/>
    <mergeCell ref="A6:B6"/>
    <mergeCell ref="C9:O9"/>
    <mergeCell ref="A11:B11"/>
    <mergeCell ref="A12:B12"/>
    <mergeCell ref="A13:B13"/>
    <mergeCell ref="A15:B16"/>
    <mergeCell ref="C15:O15"/>
    <mergeCell ref="A17:A18"/>
    <mergeCell ref="A19:A20"/>
    <mergeCell ref="A24:B25"/>
    <mergeCell ref="C24:O24"/>
    <mergeCell ref="A26:B26"/>
    <mergeCell ref="A21:A22"/>
  </mergeCells>
  <printOptions horizontalCentered="1" verticalCentered="1"/>
  <pageMargins left="0.39370078740157483" right="0.39370078740157483" top="0.9055118110236221" bottom="0" header="0.31496062992125984" footer="0.31496062992125984"/>
  <pageSetup paperSize="9" scale="86" orientation="landscape" r:id="rId2"/>
  <headerFooter>
    <oddHeader>&amp;L&amp;G&amp;C&amp;"-,Negrito"Prontos Socorros Municipais de Taboão da Serra 
SPDM - Associação Paulista para o Desenvolvimento da Medicina&amp;R&amp;G</oddHeader>
    <oddFooter>&amp;R8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14</vt:i4>
      </vt:variant>
    </vt:vector>
  </HeadingPairs>
  <TitlesOfParts>
    <vt:vector size="29" baseType="lpstr">
      <vt:lpstr>CAPA</vt:lpstr>
      <vt:lpstr>Índice</vt:lpstr>
      <vt:lpstr>1.cont x real</vt:lpstr>
      <vt:lpstr>GERAL CONTRATADOXREALIZADO I</vt:lpstr>
      <vt:lpstr>GERAL CONTRATADOXREALIZADOII</vt:lpstr>
      <vt:lpstr>2.SAIDAS. MUNIC.</vt:lpstr>
      <vt:lpstr>3.taxa obst </vt:lpstr>
      <vt:lpstr>4 ATEND. PORTA POR MUNICIPIO</vt:lpstr>
      <vt:lpstr>5 TOTAL DE SAÍDAS </vt:lpstr>
      <vt:lpstr>6.Exames</vt:lpstr>
      <vt:lpstr>7.UAN</vt:lpstr>
      <vt:lpstr>8.Lavanderia</vt:lpstr>
      <vt:lpstr>9.Atendimento-classif. de risco</vt:lpstr>
      <vt:lpstr>10. SITE</vt:lpstr>
      <vt:lpstr>11. TAXAS</vt:lpstr>
      <vt:lpstr>'1.cont x real'!Area_de_impressao</vt:lpstr>
      <vt:lpstr>'11. TAXAS'!Area_de_impressao</vt:lpstr>
      <vt:lpstr>'2.SAIDAS. MUNIC.'!Area_de_impressao</vt:lpstr>
      <vt:lpstr>'3.taxa obst '!Area_de_impressao</vt:lpstr>
      <vt:lpstr>'4 ATEND. PORTA POR MUNICIPIO'!Area_de_impressao</vt:lpstr>
      <vt:lpstr>'5 TOTAL DE SAÍDAS '!Area_de_impressao</vt:lpstr>
      <vt:lpstr>'6.Exames'!Area_de_impressao</vt:lpstr>
      <vt:lpstr>'7.UAN'!Area_de_impressao</vt:lpstr>
      <vt:lpstr>'8.Lavanderia'!Area_de_impressao</vt:lpstr>
      <vt:lpstr>'9.Atendimento-classif. de risco'!Area_de_impressao</vt:lpstr>
      <vt:lpstr>CAPA!Area_de_impressao</vt:lpstr>
      <vt:lpstr>'GERAL CONTRATADOXREALIZADO I'!Area_de_impressao</vt:lpstr>
      <vt:lpstr>'GERAL CONTRATADOXREALIZADOII'!Area_de_impressao</vt:lpstr>
      <vt:lpstr>Índice!Area_de_impressao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Rodrigues Chaves</dc:creator>
  <cp:lastModifiedBy>Eliana Oliveira Gabriel Cabral</cp:lastModifiedBy>
  <cp:lastPrinted>2022-09-09T14:37:24Z</cp:lastPrinted>
  <dcterms:created xsi:type="dcterms:W3CDTF">2013-12-13T13:28:30Z</dcterms:created>
  <dcterms:modified xsi:type="dcterms:W3CDTF">2023-01-09T18:55:21Z</dcterms:modified>
</cp:coreProperties>
</file>